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janhrabovsky/Documents/MFF/Software/loms/LOMS_data_ver_1/"/>
    </mc:Choice>
  </mc:AlternateContent>
  <xr:revisionPtr revIDLastSave="0" documentId="13_ncr:1_{7029540F-2997-F545-B78D-CDFC59799B45}" xr6:coauthVersionLast="46" xr6:coauthVersionMax="46" xr10:uidLastSave="{00000000-0000-0000-0000-000000000000}"/>
  <bookViews>
    <workbookView xWindow="-9020" yWindow="-21100" windowWidth="51120" windowHeight="21100" activeTab="1" xr2:uid="{00000000-000D-0000-FFFF-FFFF00000000}"/>
  </bookViews>
  <sheets>
    <sheet name="ErTeO2 glass no overlaps" sheetId="21" r:id="rId1"/>
    <sheet name="ErTeO2 glass with overlap" sheetId="3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21" l="1"/>
  <c r="N32" i="21"/>
  <c r="N30" i="21"/>
  <c r="S16" i="32"/>
  <c r="Q15" i="32"/>
  <c r="N20" i="32" s="1"/>
  <c r="S15" i="32"/>
  <c r="Q16" i="32"/>
  <c r="N21" i="32" s="1"/>
  <c r="S14" i="32"/>
  <c r="O16" i="32"/>
  <c r="M21" i="32" s="1"/>
  <c r="Q14" i="32"/>
  <c r="N19" i="32" s="1"/>
  <c r="O15" i="32"/>
  <c r="O14" i="32"/>
  <c r="M19" i="32" s="1"/>
  <c r="G20" i="32"/>
  <c r="N30" i="32"/>
  <c r="D67" i="32"/>
  <c r="E67" i="32" s="1"/>
  <c r="F67" i="32" s="1"/>
  <c r="D66" i="32"/>
  <c r="E66" i="32" s="1"/>
  <c r="F66" i="32" s="1"/>
  <c r="D65" i="32"/>
  <c r="E65" i="32" s="1"/>
  <c r="F65" i="32" s="1"/>
  <c r="D64" i="32"/>
  <c r="E64" i="32" s="1"/>
  <c r="F64" i="32" s="1"/>
  <c r="D63" i="32"/>
  <c r="E63" i="32" s="1"/>
  <c r="F63" i="32" s="1"/>
  <c r="D62" i="32"/>
  <c r="E62" i="32" s="1"/>
  <c r="F62" i="32" s="1"/>
  <c r="D61" i="32"/>
  <c r="E61" i="32" s="1"/>
  <c r="F61" i="32" s="1"/>
  <c r="F60" i="32"/>
  <c r="D59" i="32"/>
  <c r="E59" i="32" s="1"/>
  <c r="F59" i="32" s="1"/>
  <c r="D58" i="32"/>
  <c r="E58" i="32" s="1"/>
  <c r="F58" i="32" s="1"/>
  <c r="D57" i="32"/>
  <c r="E57" i="32" s="1"/>
  <c r="F57" i="32" s="1"/>
  <c r="D56" i="32"/>
  <c r="E56" i="32" s="1"/>
  <c r="F56" i="32" s="1"/>
  <c r="D55" i="32"/>
  <c r="E55" i="32" s="1"/>
  <c r="F55" i="32" s="1"/>
  <c r="D54" i="32"/>
  <c r="E54" i="32" s="1"/>
  <c r="F54" i="32" s="1"/>
  <c r="F53" i="32"/>
  <c r="D52" i="32"/>
  <c r="E52" i="32" s="1"/>
  <c r="F52" i="32" s="1"/>
  <c r="D51" i="32"/>
  <c r="E51" i="32" s="1"/>
  <c r="F51" i="32" s="1"/>
  <c r="D50" i="32"/>
  <c r="E50" i="32" s="1"/>
  <c r="F50" i="32" s="1"/>
  <c r="D49" i="32"/>
  <c r="E49" i="32" s="1"/>
  <c r="F49" i="32" s="1"/>
  <c r="D48" i="32"/>
  <c r="E48" i="32" s="1"/>
  <c r="F48" i="32" s="1"/>
  <c r="F47" i="32"/>
  <c r="D46" i="32"/>
  <c r="E46" i="32" s="1"/>
  <c r="F46" i="32" s="1"/>
  <c r="D45" i="32"/>
  <c r="E45" i="32" s="1"/>
  <c r="F45" i="32" s="1"/>
  <c r="D44" i="32"/>
  <c r="E44" i="32" s="1"/>
  <c r="F44" i="32" s="1"/>
  <c r="D43" i="32"/>
  <c r="E43" i="32" s="1"/>
  <c r="F43" i="32" s="1"/>
  <c r="F42" i="32"/>
  <c r="D41" i="32"/>
  <c r="E41" i="32" s="1"/>
  <c r="F41" i="32" s="1"/>
  <c r="D40" i="32"/>
  <c r="E40" i="32" s="1"/>
  <c r="F40" i="32" s="1"/>
  <c r="D39" i="32"/>
  <c r="E39" i="32" s="1"/>
  <c r="F39" i="32" s="1"/>
  <c r="F38" i="32"/>
  <c r="D37" i="32"/>
  <c r="E37" i="32" s="1"/>
  <c r="F37" i="32" s="1"/>
  <c r="D36" i="32"/>
  <c r="E36" i="32" s="1"/>
  <c r="F36" i="32" s="1"/>
  <c r="F35" i="32"/>
  <c r="D34" i="32"/>
  <c r="E34" i="32" s="1"/>
  <c r="F34" i="32" s="1"/>
  <c r="G21" i="32"/>
  <c r="G19" i="32"/>
  <c r="G18" i="32"/>
  <c r="G17" i="32"/>
  <c r="O21" i="32"/>
  <c r="G16" i="32"/>
  <c r="O20" i="32"/>
  <c r="M20" i="32"/>
  <c r="G15" i="32"/>
  <c r="O19" i="32"/>
  <c r="B3" i="32"/>
  <c r="L67" i="32" s="1"/>
  <c r="B2" i="32"/>
  <c r="H20" i="32" s="1"/>
  <c r="F38" i="21"/>
  <c r="F42" i="21"/>
  <c r="F47" i="21"/>
  <c r="F53" i="21"/>
  <c r="F60" i="21"/>
  <c r="F35" i="21"/>
  <c r="G15" i="21"/>
  <c r="S15" i="21"/>
  <c r="Q16" i="21"/>
  <c r="S16" i="21"/>
  <c r="Q15" i="21"/>
  <c r="S14" i="21"/>
  <c r="O16" i="21"/>
  <c r="Q14" i="21"/>
  <c r="O15" i="21"/>
  <c r="O14" i="21"/>
  <c r="G16" i="21"/>
  <c r="G17" i="21"/>
  <c r="G18" i="21"/>
  <c r="G19" i="21"/>
  <c r="G20" i="21"/>
  <c r="G21" i="21"/>
  <c r="H19" i="32" l="1"/>
  <c r="H16" i="32"/>
  <c r="H21" i="32"/>
  <c r="H15" i="32"/>
  <c r="B8" i="32"/>
  <c r="I18" i="32" s="1"/>
  <c r="H17" i="32"/>
  <c r="H18" i="32"/>
  <c r="L36" i="32"/>
  <c r="N36" i="32" s="1"/>
  <c r="L54" i="32"/>
  <c r="L34" i="32"/>
  <c r="N34" i="32" s="1"/>
  <c r="L48" i="32"/>
  <c r="I16" i="32"/>
  <c r="I19" i="32"/>
  <c r="Q19" i="32" a="1"/>
  <c r="B9" i="32"/>
  <c r="L40" i="32"/>
  <c r="N40" i="32" s="1"/>
  <c r="L44" i="32"/>
  <c r="N44" i="32" s="1"/>
  <c r="L46" i="32"/>
  <c r="L50" i="32"/>
  <c r="L52" i="32"/>
  <c r="N52" i="32" s="1"/>
  <c r="L56" i="32"/>
  <c r="N56" i="32" s="1"/>
  <c r="L58" i="32"/>
  <c r="N58" i="32" s="1"/>
  <c r="L62" i="32"/>
  <c r="N62" i="32" s="1"/>
  <c r="L64" i="32"/>
  <c r="L66" i="32"/>
  <c r="N66" i="32" s="1"/>
  <c r="N67" i="32"/>
  <c r="L39" i="32"/>
  <c r="N39" i="32" s="1"/>
  <c r="L43" i="32"/>
  <c r="N43" i="32" s="1"/>
  <c r="N48" i="32"/>
  <c r="N54" i="32"/>
  <c r="L61" i="32"/>
  <c r="N61" i="32" s="1"/>
  <c r="L37" i="32"/>
  <c r="N37" i="32" s="1"/>
  <c r="L41" i="32"/>
  <c r="N41" i="32" s="1"/>
  <c r="L45" i="32"/>
  <c r="N45" i="32" s="1"/>
  <c r="N46" i="32"/>
  <c r="L49" i="32"/>
  <c r="N49" i="32" s="1"/>
  <c r="N50" i="32"/>
  <c r="L51" i="32"/>
  <c r="N51" i="32" s="1"/>
  <c r="L55" i="32"/>
  <c r="N55" i="32" s="1"/>
  <c r="L57" i="32"/>
  <c r="N57" i="32" s="1"/>
  <c r="L59" i="32"/>
  <c r="N59" i="32" s="1"/>
  <c r="L63" i="32"/>
  <c r="N63" i="32" s="1"/>
  <c r="N64" i="32"/>
  <c r="L65" i="32"/>
  <c r="N65" i="32" s="1"/>
  <c r="D62" i="21"/>
  <c r="E62" i="21" s="1"/>
  <c r="F62" i="21" s="1"/>
  <c r="D63" i="21"/>
  <c r="E63" i="21" s="1"/>
  <c r="F63" i="21" s="1"/>
  <c r="D64" i="21"/>
  <c r="E64" i="21" s="1"/>
  <c r="F64" i="21" s="1"/>
  <c r="D65" i="21"/>
  <c r="E65" i="21" s="1"/>
  <c r="F65" i="21" s="1"/>
  <c r="D66" i="21"/>
  <c r="E66" i="21" s="1"/>
  <c r="F66" i="21" s="1"/>
  <c r="D67" i="21"/>
  <c r="E67" i="21" s="1"/>
  <c r="F67" i="21" s="1"/>
  <c r="D61" i="21"/>
  <c r="E61" i="21" s="1"/>
  <c r="F61" i="21" s="1"/>
  <c r="D55" i="21"/>
  <c r="E55" i="21" s="1"/>
  <c r="F55" i="21" s="1"/>
  <c r="D56" i="21"/>
  <c r="E56" i="21" s="1"/>
  <c r="F56" i="21" s="1"/>
  <c r="D57" i="21"/>
  <c r="E57" i="21" s="1"/>
  <c r="F57" i="21" s="1"/>
  <c r="D58" i="21"/>
  <c r="E58" i="21" s="1"/>
  <c r="F58" i="21" s="1"/>
  <c r="D59" i="21"/>
  <c r="E59" i="21" s="1"/>
  <c r="F59" i="21" s="1"/>
  <c r="D54" i="21"/>
  <c r="E54" i="21" s="1"/>
  <c r="F54" i="21" s="1"/>
  <c r="D49" i="21"/>
  <c r="E49" i="21" s="1"/>
  <c r="F49" i="21" s="1"/>
  <c r="D50" i="21"/>
  <c r="E50" i="21" s="1"/>
  <c r="F50" i="21" s="1"/>
  <c r="D51" i="21"/>
  <c r="E51" i="21" s="1"/>
  <c r="F51" i="21" s="1"/>
  <c r="D52" i="21"/>
  <c r="E52" i="21" s="1"/>
  <c r="F52" i="21" s="1"/>
  <c r="D48" i="21"/>
  <c r="E48" i="21" s="1"/>
  <c r="F48" i="21" s="1"/>
  <c r="D44" i="21"/>
  <c r="E44" i="21" s="1"/>
  <c r="F44" i="21" s="1"/>
  <c r="D45" i="21"/>
  <c r="E45" i="21" s="1"/>
  <c r="F45" i="21" s="1"/>
  <c r="D46" i="21"/>
  <c r="E46" i="21" s="1"/>
  <c r="F46" i="21" s="1"/>
  <c r="D43" i="21"/>
  <c r="E43" i="21" s="1"/>
  <c r="F43" i="21" s="1"/>
  <c r="D40" i="21"/>
  <c r="E40" i="21" s="1"/>
  <c r="F40" i="21" s="1"/>
  <c r="D41" i="21"/>
  <c r="E41" i="21" s="1"/>
  <c r="F41" i="21" s="1"/>
  <c r="D39" i="21"/>
  <c r="E39" i="21" s="1"/>
  <c r="F39" i="21" s="1"/>
  <c r="D37" i="21"/>
  <c r="E37" i="21" s="1"/>
  <c r="F37" i="21" s="1"/>
  <c r="D36" i="21"/>
  <c r="E36" i="21" s="1"/>
  <c r="F36" i="21" s="1"/>
  <c r="D34" i="21"/>
  <c r="E34" i="21" s="1"/>
  <c r="F34" i="21" s="1"/>
  <c r="M19" i="21"/>
  <c r="O19" i="21"/>
  <c r="O20" i="21"/>
  <c r="M20" i="21"/>
  <c r="B3" i="21"/>
  <c r="B2" i="21"/>
  <c r="I17" i="32" l="1"/>
  <c r="I15" i="32"/>
  <c r="I20" i="32"/>
  <c r="I21" i="32"/>
  <c r="V16" i="32"/>
  <c r="V15" i="32"/>
  <c r="V14" i="32"/>
  <c r="S20" i="32"/>
  <c r="R19" i="32"/>
  <c r="S21" i="32"/>
  <c r="R20" i="32"/>
  <c r="Q19" i="32"/>
  <c r="R21" i="32"/>
  <c r="Q20" i="32"/>
  <c r="S19" i="32"/>
  <c r="Q21" i="32"/>
  <c r="M21" i="21"/>
  <c r="N21" i="21"/>
  <c r="O21" i="21"/>
  <c r="N19" i="21"/>
  <c r="N20" i="21"/>
  <c r="L44" i="21"/>
  <c r="N44" i="21" s="1"/>
  <c r="L64" i="21"/>
  <c r="N64" i="21" s="1"/>
  <c r="L37" i="21"/>
  <c r="N37" i="21" s="1"/>
  <c r="H20" i="21"/>
  <c r="H19" i="21"/>
  <c r="B8" i="21"/>
  <c r="I18" i="21" s="1"/>
  <c r="L58" i="21"/>
  <c r="N58" i="21" s="1"/>
  <c r="H17" i="21"/>
  <c r="L41" i="21"/>
  <c r="N41" i="21" s="1"/>
  <c r="L49" i="21"/>
  <c r="N49" i="21" s="1"/>
  <c r="L61" i="21"/>
  <c r="N61" i="21" s="1"/>
  <c r="B9" i="21"/>
  <c r="H21" i="21"/>
  <c r="L39" i="21"/>
  <c r="N39" i="21" s="1"/>
  <c r="L48" i="21"/>
  <c r="N48" i="21" s="1"/>
  <c r="H18" i="21"/>
  <c r="L36" i="21"/>
  <c r="N36" i="21" s="1"/>
  <c r="L43" i="21"/>
  <c r="N43" i="21" s="1"/>
  <c r="H15" i="21"/>
  <c r="L54" i="21"/>
  <c r="N54" i="21" s="1"/>
  <c r="L34" i="21"/>
  <c r="L45" i="21"/>
  <c r="N45" i="21" s="1"/>
  <c r="L67" i="21"/>
  <c r="N67" i="21" s="1"/>
  <c r="L63" i="21"/>
  <c r="N63" i="21" s="1"/>
  <c r="L52" i="21"/>
  <c r="N52" i="21" s="1"/>
  <c r="L59" i="21"/>
  <c r="N59" i="21" s="1"/>
  <c r="L55" i="21"/>
  <c r="N55" i="21" s="1"/>
  <c r="L66" i="21"/>
  <c r="N66" i="21" s="1"/>
  <c r="L62" i="21"/>
  <c r="N62" i="21" s="1"/>
  <c r="L51" i="21"/>
  <c r="N51" i="21" s="1"/>
  <c r="L65" i="21"/>
  <c r="N65" i="21" s="1"/>
  <c r="L57" i="21"/>
  <c r="N57" i="21" s="1"/>
  <c r="L46" i="21"/>
  <c r="N46" i="21" s="1"/>
  <c r="H16" i="21"/>
  <c r="L40" i="21"/>
  <c r="N40" i="21" s="1"/>
  <c r="L50" i="21"/>
  <c r="N50" i="21" s="1"/>
  <c r="L56" i="21"/>
  <c r="N56" i="21" s="1"/>
  <c r="N23" i="32" l="1" a="1"/>
  <c r="I21" i="21"/>
  <c r="I15" i="21"/>
  <c r="I16" i="21"/>
  <c r="Q19" i="21" a="1"/>
  <c r="R21" i="21" s="1"/>
  <c r="I19" i="21"/>
  <c r="I17" i="21"/>
  <c r="I20" i="21"/>
  <c r="N24" i="32" l="1"/>
  <c r="N23" i="32"/>
  <c r="N25" i="32"/>
  <c r="V14" i="21"/>
  <c r="V16" i="21"/>
  <c r="V15" i="21"/>
  <c r="Q19" i="21"/>
  <c r="S21" i="21"/>
  <c r="R19" i="21"/>
  <c r="R20" i="21"/>
  <c r="Q20" i="21"/>
  <c r="S20" i="21"/>
  <c r="Q21" i="21"/>
  <c r="S19" i="21"/>
  <c r="K20" i="32" l="1"/>
  <c r="K54" i="32"/>
  <c r="M54" i="32" s="1"/>
  <c r="O54" i="32" s="1"/>
  <c r="K48" i="32"/>
  <c r="M48" i="32" s="1"/>
  <c r="O48" i="32" s="1"/>
  <c r="K36" i="32"/>
  <c r="M36" i="32" s="1"/>
  <c r="O36" i="32" s="1"/>
  <c r="K34" i="32"/>
  <c r="M34" i="32" s="1"/>
  <c r="O34" i="32" s="1"/>
  <c r="K67" i="32"/>
  <c r="M67" i="32" s="1"/>
  <c r="O67" i="32" s="1"/>
  <c r="K65" i="32"/>
  <c r="M65" i="32" s="1"/>
  <c r="O65" i="32" s="1"/>
  <c r="K63" i="32"/>
  <c r="M63" i="32" s="1"/>
  <c r="O63" i="32" s="1"/>
  <c r="K59" i="32"/>
  <c r="M59" i="32" s="1"/>
  <c r="O59" i="32" s="1"/>
  <c r="K57" i="32"/>
  <c r="M57" i="32" s="1"/>
  <c r="O57" i="32" s="1"/>
  <c r="K55" i="32"/>
  <c r="M55" i="32" s="1"/>
  <c r="O55" i="32" s="1"/>
  <c r="K51" i="32"/>
  <c r="M51" i="32" s="1"/>
  <c r="O51" i="32" s="1"/>
  <c r="K49" i="32"/>
  <c r="M49" i="32" s="1"/>
  <c r="O49" i="32" s="1"/>
  <c r="K45" i="32"/>
  <c r="M45" i="32" s="1"/>
  <c r="O45" i="32" s="1"/>
  <c r="K41" i="32"/>
  <c r="M41" i="32" s="1"/>
  <c r="O41" i="32" s="1"/>
  <c r="K37" i="32"/>
  <c r="M37" i="32" s="1"/>
  <c r="O37" i="32" s="1"/>
  <c r="K66" i="32"/>
  <c r="M66" i="32" s="1"/>
  <c r="O66" i="32" s="1"/>
  <c r="K64" i="32"/>
  <c r="M64" i="32" s="1"/>
  <c r="O64" i="32" s="1"/>
  <c r="K62" i="32"/>
  <c r="M62" i="32" s="1"/>
  <c r="O62" i="32" s="1"/>
  <c r="K61" i="32"/>
  <c r="M61" i="32" s="1"/>
  <c r="O61" i="32" s="1"/>
  <c r="K43" i="32"/>
  <c r="M43" i="32" s="1"/>
  <c r="O43" i="32" s="1"/>
  <c r="K39" i="32"/>
  <c r="M39" i="32" s="1"/>
  <c r="O39" i="32" s="1"/>
  <c r="K21" i="32"/>
  <c r="K19" i="32"/>
  <c r="K18" i="32"/>
  <c r="K17" i="32"/>
  <c r="K16" i="32"/>
  <c r="K15" i="32"/>
  <c r="K58" i="32"/>
  <c r="M58" i="32" s="1"/>
  <c r="O58" i="32" s="1"/>
  <c r="K56" i="32"/>
  <c r="M56" i="32" s="1"/>
  <c r="O56" i="32" s="1"/>
  <c r="K52" i="32"/>
  <c r="M52" i="32" s="1"/>
  <c r="O52" i="32" s="1"/>
  <c r="K46" i="32"/>
  <c r="M46" i="32" s="1"/>
  <c r="O46" i="32" s="1"/>
  <c r="K50" i="32"/>
  <c r="M50" i="32" s="1"/>
  <c r="O50" i="32" s="1"/>
  <c r="K44" i="32"/>
  <c r="M44" i="32" s="1"/>
  <c r="O44" i="32" s="1"/>
  <c r="K40" i="32"/>
  <c r="M40" i="32" s="1"/>
  <c r="O40" i="32" s="1"/>
  <c r="N27" i="32"/>
  <c r="N23" i="21" a="1"/>
  <c r="N23" i="21" s="1"/>
  <c r="R40" i="32" l="1"/>
  <c r="R50" i="32"/>
  <c r="R58" i="32"/>
  <c r="P43" i="32"/>
  <c r="Q43" i="32" s="1"/>
  <c r="R43" i="32"/>
  <c r="R66" i="32"/>
  <c r="R45" i="32"/>
  <c r="R57" i="32"/>
  <c r="R67" i="32"/>
  <c r="R54" i="32"/>
  <c r="P54" i="32"/>
  <c r="Q58" i="32" s="1"/>
  <c r="R46" i="32"/>
  <c r="N29" i="32"/>
  <c r="P61" i="32"/>
  <c r="Q63" i="32" s="1"/>
  <c r="R61" i="32"/>
  <c r="R49" i="32"/>
  <c r="R59" i="32"/>
  <c r="R34" i="32"/>
  <c r="P34" i="32"/>
  <c r="Q34" i="32" s="1"/>
  <c r="R52" i="32"/>
  <c r="R62" i="32"/>
  <c r="Q62" i="32"/>
  <c r="R37" i="32"/>
  <c r="R51" i="32"/>
  <c r="R63" i="32"/>
  <c r="R36" i="32"/>
  <c r="P36" i="32"/>
  <c r="Q37" i="32" s="1"/>
  <c r="R44" i="32"/>
  <c r="R56" i="32"/>
  <c r="P39" i="32"/>
  <c r="Q40" i="32" s="1"/>
  <c r="R39" i="32"/>
  <c r="R64" i="32"/>
  <c r="R41" i="32"/>
  <c r="R55" i="32"/>
  <c r="R65" i="32"/>
  <c r="R48" i="32"/>
  <c r="P48" i="32"/>
  <c r="Q50" i="32" s="1"/>
  <c r="N25" i="21"/>
  <c r="N24" i="21"/>
  <c r="Q44" i="32" l="1"/>
  <c r="Q59" i="32"/>
  <c r="Q36" i="32"/>
  <c r="Q54" i="32"/>
  <c r="Q64" i="32"/>
  <c r="Q39" i="32"/>
  <c r="Q49" i="32"/>
  <c r="Q46" i="32"/>
  <c r="Q45" i="32"/>
  <c r="Q48" i="32"/>
  <c r="Q55" i="32"/>
  <c r="Q56" i="32"/>
  <c r="Q52" i="32"/>
  <c r="Q41" i="32"/>
  <c r="Q65" i="32"/>
  <c r="Q51" i="32"/>
  <c r="Q61" i="32"/>
  <c r="Q67" i="32"/>
  <c r="Q66" i="32"/>
  <c r="Q57" i="32"/>
  <c r="K46" i="21"/>
  <c r="M46" i="21" s="1"/>
  <c r="O46" i="21" s="1"/>
  <c r="R46" i="21" s="1"/>
  <c r="K41" i="21"/>
  <c r="M41" i="21" s="1"/>
  <c r="O41" i="21" s="1"/>
  <c r="R41" i="21" s="1"/>
  <c r="K37" i="21"/>
  <c r="M37" i="21" s="1"/>
  <c r="O37" i="21" s="1"/>
  <c r="R37" i="21" s="1"/>
  <c r="K58" i="21"/>
  <c r="M58" i="21" s="1"/>
  <c r="O58" i="21" s="1"/>
  <c r="K54" i="21"/>
  <c r="M54" i="21" s="1"/>
  <c r="O54" i="21" s="1"/>
  <c r="K59" i="21"/>
  <c r="M59" i="21" s="1"/>
  <c r="O59" i="21" s="1"/>
  <c r="R59" i="21" s="1"/>
  <c r="K39" i="21"/>
  <c r="M39" i="21" s="1"/>
  <c r="O39" i="21" s="1"/>
  <c r="K40" i="21"/>
  <c r="M40" i="21" s="1"/>
  <c r="O40" i="21" s="1"/>
  <c r="K34" i="21"/>
  <c r="M34" i="21" s="1"/>
  <c r="O34" i="21" s="1"/>
  <c r="N27" i="21"/>
  <c r="K16" i="21"/>
  <c r="K51" i="21"/>
  <c r="M51" i="21" s="1"/>
  <c r="O51" i="21" s="1"/>
  <c r="R51" i="21" s="1"/>
  <c r="K57" i="21"/>
  <c r="M57" i="21" s="1"/>
  <c r="O57" i="21" s="1"/>
  <c r="K62" i="21"/>
  <c r="M62" i="21" s="1"/>
  <c r="O62" i="21" s="1"/>
  <c r="K44" i="21"/>
  <c r="M44" i="21" s="1"/>
  <c r="O44" i="21" s="1"/>
  <c r="K64" i="21"/>
  <c r="M64" i="21" s="1"/>
  <c r="O64" i="21" s="1"/>
  <c r="K55" i="21"/>
  <c r="M55" i="21" s="1"/>
  <c r="O55" i="21" s="1"/>
  <c r="K48" i="21"/>
  <c r="M48" i="21" s="1"/>
  <c r="O48" i="21" s="1"/>
  <c r="K20" i="21"/>
  <c r="K21" i="21"/>
  <c r="K15" i="21"/>
  <c r="K49" i="21"/>
  <c r="M49" i="21" s="1"/>
  <c r="O49" i="21" s="1"/>
  <c r="K52" i="21"/>
  <c r="M52" i="21" s="1"/>
  <c r="O52" i="21" s="1"/>
  <c r="R52" i="21" s="1"/>
  <c r="K45" i="21"/>
  <c r="M45" i="21" s="1"/>
  <c r="O45" i="21" s="1"/>
  <c r="K36" i="21"/>
  <c r="M36" i="21" s="1"/>
  <c r="O36" i="21" s="1"/>
  <c r="K17" i="21"/>
  <c r="K66" i="21"/>
  <c r="M66" i="21" s="1"/>
  <c r="O66" i="21" s="1"/>
  <c r="K50" i="21"/>
  <c r="M50" i="21" s="1"/>
  <c r="O50" i="21" s="1"/>
  <c r="R50" i="21" s="1"/>
  <c r="K63" i="21"/>
  <c r="M63" i="21" s="1"/>
  <c r="O63" i="21" s="1"/>
  <c r="K56" i="21"/>
  <c r="M56" i="21" s="1"/>
  <c r="O56" i="21" s="1"/>
  <c r="K43" i="21"/>
  <c r="M43" i="21" s="1"/>
  <c r="O43" i="21" s="1"/>
  <c r="K19" i="21"/>
  <c r="K18" i="21"/>
  <c r="K65" i="21"/>
  <c r="M65" i="21" s="1"/>
  <c r="O65" i="21" s="1"/>
  <c r="K67" i="21"/>
  <c r="M67" i="21" s="1"/>
  <c r="O67" i="21" s="1"/>
  <c r="R67" i="21" s="1"/>
  <c r="K61" i="21"/>
  <c r="M61" i="21" s="1"/>
  <c r="O61" i="21" s="1"/>
  <c r="N29" i="21" l="1"/>
  <c r="R36" i="21"/>
  <c r="R65" i="21"/>
  <c r="R64" i="21"/>
  <c r="R40" i="21"/>
  <c r="R58" i="21"/>
  <c r="R63" i="21"/>
  <c r="R55" i="21"/>
  <c r="R57" i="21"/>
  <c r="R54" i="21"/>
  <c r="R61" i="21"/>
  <c r="R45" i="21"/>
  <c r="R43" i="21"/>
  <c r="R66" i="21"/>
  <c r="R44" i="21"/>
  <c r="R56" i="21"/>
  <c r="R49" i="21"/>
  <c r="R48" i="21"/>
  <c r="R62" i="21"/>
  <c r="P43" i="21"/>
  <c r="P39" i="21"/>
  <c r="P36" i="21"/>
  <c r="R34" i="21"/>
  <c r="P34" i="21"/>
  <c r="P54" i="21"/>
  <c r="P61" i="21"/>
  <c r="P48" i="21"/>
  <c r="R39" i="21"/>
  <c r="Q41" i="21" l="1"/>
  <c r="Q34" i="21"/>
  <c r="Q39" i="21"/>
  <c r="Q40" i="21"/>
  <c r="Q66" i="21"/>
  <c r="Q67" i="21"/>
  <c r="Q50" i="21"/>
  <c r="Q45" i="21"/>
  <c r="Q43" i="21"/>
  <c r="Q44" i="21"/>
  <c r="Q46" i="21"/>
  <c r="Q36" i="21"/>
  <c r="Q37" i="21"/>
  <c r="Q64" i="21"/>
  <c r="Q56" i="21"/>
  <c r="Q55" i="21"/>
  <c r="Q58" i="21"/>
  <c r="Q57" i="21"/>
  <c r="Q59" i="21"/>
  <c r="Q65" i="21"/>
  <c r="Q54" i="21"/>
  <c r="Q63" i="21"/>
  <c r="Q62" i="21"/>
  <c r="Q49" i="21"/>
  <c r="Q48" i="21"/>
  <c r="Q51" i="21"/>
  <c r="Q52" i="21"/>
  <c r="Q61" i="21"/>
</calcChain>
</file>

<file path=xl/sharedStrings.xml><?xml version="1.0" encoding="utf-8"?>
<sst xmlns="http://schemas.openxmlformats.org/spreadsheetml/2006/main" count="314" uniqueCount="73">
  <si>
    <t>Ground state</t>
  </si>
  <si>
    <t>Excited state</t>
  </si>
  <si>
    <t>Ground state J</t>
  </si>
  <si>
    <t>U2</t>
  </si>
  <si>
    <t>U4</t>
  </si>
  <si>
    <t>U6</t>
  </si>
  <si>
    <t>A</t>
  </si>
  <si>
    <t>e</t>
  </si>
  <si>
    <t>Wavelength (cm)</t>
  </si>
  <si>
    <t>h</t>
  </si>
  <si>
    <t>JO2</t>
  </si>
  <si>
    <t>JO4</t>
  </si>
  <si>
    <t>JO6</t>
  </si>
  <si>
    <t>=</t>
  </si>
  <si>
    <t>c</t>
  </si>
  <si>
    <t>kg</t>
  </si>
  <si>
    <t>m</t>
  </si>
  <si>
    <t>-</t>
  </si>
  <si>
    <t>JO4/JO6</t>
  </si>
  <si>
    <t>Excited State J</t>
  </si>
  <si>
    <t>RMS</t>
  </si>
  <si>
    <t>Peak wavelength (nm)</t>
  </si>
  <si>
    <t>number of used transitions</t>
  </si>
  <si>
    <t>Luminescence parameters calculation</t>
  </si>
  <si>
    <t>Judd Ofelt parameters calculation</t>
  </si>
  <si>
    <r>
      <t>cm.s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</si>
  <si>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r>
      <t>cm</t>
    </r>
    <r>
      <rPr>
        <vertAlign val="superscript"/>
        <sz val="11"/>
        <color theme="1"/>
        <rFont val="Calibri"/>
        <family val="2"/>
        <charset val="238"/>
        <scheme val="minor"/>
      </rPr>
      <t>3/2</t>
    </r>
    <r>
      <rPr>
        <sz val="11"/>
        <color theme="1"/>
        <rFont val="Calibri"/>
        <family val="2"/>
        <charset val="238"/>
        <scheme val="minor"/>
      </rPr>
      <t>.kg</t>
    </r>
    <r>
      <rPr>
        <vertAlign val="superscript"/>
        <sz val="11"/>
        <color theme="1"/>
        <rFont val="Calibri"/>
        <family val="2"/>
        <charset val="238"/>
        <scheme val="minor"/>
      </rPr>
      <t>1/2</t>
    </r>
    <r>
      <rPr>
        <sz val="11"/>
        <color theme="1"/>
        <rFont val="Calibri"/>
        <family val="2"/>
        <charset val="238"/>
        <scheme val="minor"/>
      </rPr>
      <t>*s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</si>
  <si>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r>
      <t>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.kg.s</t>
    </r>
    <r>
      <rPr>
        <vertAlign val="superscript"/>
        <sz val="11"/>
        <color theme="1"/>
        <rFont val="Calibri"/>
        <family val="2"/>
        <charset val="238"/>
        <scheme val="minor"/>
      </rPr>
      <t>-1</t>
    </r>
  </si>
  <si>
    <t>4I13/2</t>
  </si>
  <si>
    <t>4I11/2</t>
  </si>
  <si>
    <t>4I9/2</t>
  </si>
  <si>
    <t>4F9/2</t>
  </si>
  <si>
    <t>4S3/2</t>
  </si>
  <si>
    <t>2H11/2</t>
  </si>
  <si>
    <t>4F7/2</t>
  </si>
  <si>
    <t>4I15/2</t>
  </si>
  <si>
    <t>Level</t>
  </si>
  <si>
    <t>B1</t>
  </si>
  <si>
    <t>C1</t>
  </si>
  <si>
    <t>B2</t>
  </si>
  <si>
    <t>C2</t>
  </si>
  <si>
    <t>L+gS operator</t>
  </si>
  <si>
    <t>π</t>
  </si>
  <si>
    <r>
      <rPr>
        <sz val="11"/>
        <color theme="1"/>
        <rFont val="Calibri"/>
        <family val="2"/>
        <charset val="238"/>
      </rPr>
      <t>α</t>
    </r>
    <r>
      <rPr>
        <vertAlign val="subscript"/>
        <sz val="11"/>
        <color theme="1"/>
        <rFont val="Calibri"/>
        <family val="2"/>
        <charset val="238"/>
      </rPr>
      <t>F</t>
    </r>
  </si>
  <si>
    <r>
      <t>(3*c*h)/(8*</t>
    </r>
    <r>
      <rPr>
        <sz val="11"/>
        <color theme="1"/>
        <rFont val="Calibri"/>
        <family val="2"/>
        <charset val="238"/>
      </rPr>
      <t>π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*e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</si>
  <si>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Physical constants</t>
  </si>
  <si>
    <t>Sellmeier Parameters</t>
  </si>
  <si>
    <r>
      <t>integrated cross-section (cm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nm)</t>
    </r>
  </si>
  <si>
    <t>n (-)</t>
  </si>
  <si>
    <r>
      <t>F</t>
    </r>
    <r>
      <rPr>
        <b/>
        <vertAlign val="subscript"/>
        <sz val="11"/>
        <color theme="1"/>
        <rFont val="Calibri"/>
        <family val="2"/>
        <charset val="238"/>
        <scheme val="minor"/>
      </rPr>
      <t>exp</t>
    </r>
    <r>
      <rPr>
        <b/>
        <sz val="11"/>
        <color theme="1"/>
        <rFont val="Calibri"/>
        <family val="2"/>
        <charset val="238"/>
        <scheme val="minor"/>
      </rPr>
      <t xml:space="preserve"> (-)</t>
    </r>
  </si>
  <si>
    <r>
      <t>S</t>
    </r>
    <r>
      <rPr>
        <b/>
        <vertAlign val="subscript"/>
        <sz val="11"/>
        <color theme="1"/>
        <rFont val="Calibri"/>
        <family val="2"/>
        <charset val="238"/>
        <scheme val="minor"/>
      </rPr>
      <t>exp</t>
    </r>
    <r>
      <rPr>
        <b/>
        <sz val="11"/>
        <color theme="1"/>
        <rFont val="Calibri"/>
        <family val="2"/>
        <charset val="238"/>
        <scheme val="minor"/>
      </rPr>
      <t xml:space="preserve"> (cm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</si>
  <si>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b/>
        <vertAlign val="subscript"/>
        <sz val="11"/>
        <color theme="1"/>
        <rFont val="Calibri"/>
        <family val="2"/>
        <charset val="238"/>
        <scheme val="minor"/>
      </rPr>
      <t>calc</t>
    </r>
    <r>
      <rPr>
        <b/>
        <sz val="11"/>
        <color theme="1"/>
        <rFont val="Calibri"/>
        <family val="2"/>
        <charset val="238"/>
        <scheme val="minor"/>
      </rPr>
      <t xml:space="preserve">  (cm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</si>
  <si>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Least squares method</t>
  </si>
  <si>
    <t>Base matrix</t>
  </si>
  <si>
    <t>Inverted matrix</t>
  </si>
  <si>
    <r>
      <t>Wavenumber (cm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)</t>
    </r>
  </si>
  <si>
    <t>Branching ratio (-)</t>
  </si>
  <si>
    <r>
      <rPr>
        <b/>
        <sz val="11"/>
        <color theme="1"/>
        <rFont val="Calibri"/>
        <family val="2"/>
        <charset val="238"/>
      </rPr>
      <t>τ</t>
    </r>
    <r>
      <rPr>
        <b/>
        <vertAlign val="subscript"/>
        <sz val="11"/>
        <color theme="1"/>
        <rFont val="Calibri"/>
        <family val="2"/>
        <charset val="238"/>
      </rPr>
      <t>JO</t>
    </r>
    <r>
      <rPr>
        <b/>
        <vertAlign val="superscript"/>
        <sz val="11"/>
        <color theme="1"/>
        <rFont val="Calibri"/>
        <family val="2"/>
        <charset val="238"/>
      </rPr>
      <t>r</t>
    </r>
    <r>
      <rPr>
        <b/>
        <sz val="11"/>
        <color theme="1"/>
        <rFont val="Calibri"/>
        <family val="2"/>
        <charset val="238"/>
        <scheme val="minor"/>
      </rPr>
      <t xml:space="preserve"> (s)</t>
    </r>
  </si>
  <si>
    <r>
      <t>S</t>
    </r>
    <r>
      <rPr>
        <b/>
        <vertAlign val="subscript"/>
        <sz val="11"/>
        <color theme="1"/>
        <rFont val="Calibri"/>
        <family val="2"/>
        <charset val="238"/>
        <scheme val="minor"/>
      </rPr>
      <t>ED</t>
    </r>
    <r>
      <rPr>
        <b/>
        <sz val="11"/>
        <color theme="1"/>
        <rFont val="Calibri"/>
        <family val="2"/>
        <charset val="238"/>
        <scheme val="minor"/>
      </rPr>
      <t xml:space="preserve"> (cm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</si>
  <si>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b/>
        <vertAlign val="subscript"/>
        <sz val="11"/>
        <color theme="1"/>
        <rFont val="Calibri"/>
        <family val="2"/>
        <charset val="238"/>
        <scheme val="minor"/>
      </rPr>
      <t>MD</t>
    </r>
    <r>
      <rPr>
        <b/>
        <sz val="11"/>
        <color theme="1"/>
        <rFont val="Calibri"/>
        <family val="2"/>
        <charset val="238"/>
        <scheme val="minor"/>
      </rPr>
      <t xml:space="preserve"> (cm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</si>
  <si>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ED</t>
    </r>
    <r>
      <rPr>
        <b/>
        <sz val="11"/>
        <color theme="1"/>
        <rFont val="Calibri"/>
        <family val="2"/>
        <charset val="238"/>
        <scheme val="minor"/>
      </rPr>
      <t xml:space="preserve"> (s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</si>
  <si>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MD</t>
    </r>
    <r>
      <rPr>
        <b/>
        <sz val="11"/>
        <color theme="1"/>
        <rFont val="Calibri"/>
        <family val="2"/>
        <charset val="238"/>
        <scheme val="minor"/>
      </rPr>
      <t xml:space="preserve"> (s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</si>
  <si>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sum</t>
    </r>
    <r>
      <rPr>
        <b/>
        <sz val="11"/>
        <color theme="1"/>
        <rFont val="Calibri"/>
        <family val="2"/>
        <charset val="238"/>
        <scheme val="minor"/>
      </rPr>
      <t xml:space="preserve"> (s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</si>
  <si>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level</t>
    </r>
    <r>
      <rPr>
        <b/>
        <sz val="11"/>
        <color theme="1"/>
        <rFont val="Calibri"/>
        <family val="2"/>
        <charset val="238"/>
        <scheme val="minor"/>
      </rPr>
      <t xml:space="preserve"> (s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</si>
  <si>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</si>
  <si>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equation 1</t>
  </si>
  <si>
    <t>equation 2</t>
  </si>
  <si>
    <t>equation 3</t>
  </si>
  <si>
    <r>
      <t>Barycenter (cm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)</t>
    </r>
  </si>
  <si>
    <t>Note: 2H11/2 band (row 20) is added to 4S3/2 band (row 19). Row 20 is thus discarded for the calculation of JO parameters and row 19 represents the combined 2H11/2 + 4S3/2 energy level. This is just an illustrative example of calcualtion protocol with no real physical meaning of calulated JO parameters. Please visit www.loms.cz for more details.</t>
  </si>
  <si>
    <t>Note: In this calculation, each of the 7 bands is taken individually. Please visit www.loms.cz for more details.</t>
  </si>
  <si>
    <r>
      <t>(64*pi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*e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)/(3*h)</t>
    </r>
  </si>
  <si>
    <t>Present document was created as a reference for www-loms.cz evaluation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</si>
</sst>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11" fontId="0" fillId="0" borderId="9" xfId="0" applyNumberFormat="1" applyBorder="1"/>
    <xf numFmtId="11" fontId="0" fillId="0" borderId="11" xfId="0" applyNumberFormat="1" applyBorder="1"/>
    <xf numFmtId="11" fontId="0" fillId="0" borderId="14" xfId="0" applyNumberFormat="1" applyBorder="1"/>
    <xf numFmtId="0" fontId="0" fillId="0" borderId="17" xfId="0" applyBorder="1"/>
    <xf numFmtId="11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0" applyFont="1"/>
    <xf numFmtId="11" fontId="0" fillId="0" borderId="8" xfId="0" applyNumberFormat="1" applyBorder="1"/>
    <xf numFmtId="11" fontId="0" fillId="0" borderId="13" xfId="0" applyNumberFormat="1" applyBorder="1"/>
    <xf numFmtId="11" fontId="0" fillId="0" borderId="7" xfId="0" applyNumberFormat="1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1" fillId="0" borderId="15" xfId="0" applyFont="1" applyBorder="1"/>
    <xf numFmtId="0" fontId="0" fillId="0" borderId="16" xfId="0" applyBorder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0" fillId="0" borderId="0" xfId="0" applyFont="1"/>
    <xf numFmtId="0" fontId="0" fillId="0" borderId="0" xfId="0" applyFill="1"/>
    <xf numFmtId="0" fontId="10" fillId="0" borderId="0" xfId="0" applyFont="1"/>
    <xf numFmtId="0" fontId="0" fillId="0" borderId="18" xfId="0" applyBorder="1"/>
    <xf numFmtId="0" fontId="10" fillId="0" borderId="18" xfId="0" applyFont="1" applyBorder="1"/>
    <xf numFmtId="0" fontId="0" fillId="0" borderId="0" xfId="0" applyAlignment="1">
      <alignment horizontal="right"/>
    </xf>
    <xf numFmtId="11" fontId="3" fillId="0" borderId="0" xfId="0" applyNumberFormat="1" applyFont="1"/>
    <xf numFmtId="11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19</xdr:row>
      <xdr:rowOff>47625</xdr:rowOff>
    </xdr:from>
    <xdr:to>
      <xdr:col>15</xdr:col>
      <xdr:colOff>609600</xdr:colOff>
      <xdr:row>19</xdr:row>
      <xdr:rowOff>152400</xdr:rowOff>
    </xdr:to>
    <xdr:sp macro="" textlink="">
      <xdr:nvSpPr>
        <xdr:cNvPr id="2" name="Šipka doprava 1">
          <a:extLst>
            <a:ext uri="{FF2B5EF4-FFF2-40B4-BE49-F238E27FC236}">
              <a16:creationId xmlns:a16="http://schemas.microsoft.com/office/drawing/2014/main" id="{7FED68BA-ADEB-4F3B-A736-610E7A1C4FA6}"/>
            </a:ext>
          </a:extLst>
        </xdr:cNvPr>
        <xdr:cNvSpPr/>
      </xdr:nvSpPr>
      <xdr:spPr>
        <a:xfrm>
          <a:off x="19183350" y="4038600"/>
          <a:ext cx="47625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400050</xdr:colOff>
      <xdr:row>16</xdr:row>
      <xdr:rowOff>66680</xdr:rowOff>
    </xdr:from>
    <xdr:to>
      <xdr:col>13</xdr:col>
      <xdr:colOff>561975</xdr:colOff>
      <xdr:row>17</xdr:row>
      <xdr:rowOff>128590</xdr:rowOff>
    </xdr:to>
    <xdr:sp macro="" textlink="">
      <xdr:nvSpPr>
        <xdr:cNvPr id="3" name="Šipka doprava 2">
          <a:extLst>
            <a:ext uri="{FF2B5EF4-FFF2-40B4-BE49-F238E27FC236}">
              <a16:creationId xmlns:a16="http://schemas.microsoft.com/office/drawing/2014/main" id="{C2EF9238-DEBE-4E56-9B5B-2C5822031A4B}"/>
            </a:ext>
          </a:extLst>
        </xdr:cNvPr>
        <xdr:cNvSpPr/>
      </xdr:nvSpPr>
      <xdr:spPr>
        <a:xfrm rot="5400000" flipV="1">
          <a:off x="17585533" y="3521872"/>
          <a:ext cx="252410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19</xdr:row>
      <xdr:rowOff>47625</xdr:rowOff>
    </xdr:from>
    <xdr:to>
      <xdr:col>15</xdr:col>
      <xdr:colOff>609600</xdr:colOff>
      <xdr:row>19</xdr:row>
      <xdr:rowOff>152400</xdr:rowOff>
    </xdr:to>
    <xdr:sp macro="" textlink="">
      <xdr:nvSpPr>
        <xdr:cNvPr id="2" name="Šipka doprava 1">
          <a:extLst>
            <a:ext uri="{FF2B5EF4-FFF2-40B4-BE49-F238E27FC236}">
              <a16:creationId xmlns:a16="http://schemas.microsoft.com/office/drawing/2014/main" id="{134C7805-387A-4BD7-A6FB-54D66CCC5084}"/>
            </a:ext>
          </a:extLst>
        </xdr:cNvPr>
        <xdr:cNvSpPr/>
      </xdr:nvSpPr>
      <xdr:spPr>
        <a:xfrm>
          <a:off x="17068800" y="4010025"/>
          <a:ext cx="47625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13</xdr:col>
      <xdr:colOff>400050</xdr:colOff>
      <xdr:row>16</xdr:row>
      <xdr:rowOff>66680</xdr:rowOff>
    </xdr:from>
    <xdr:to>
      <xdr:col>13</xdr:col>
      <xdr:colOff>561975</xdr:colOff>
      <xdr:row>17</xdr:row>
      <xdr:rowOff>128590</xdr:rowOff>
    </xdr:to>
    <xdr:sp macro="" textlink="">
      <xdr:nvSpPr>
        <xdr:cNvPr id="3" name="Šipka doprava 2">
          <a:extLst>
            <a:ext uri="{FF2B5EF4-FFF2-40B4-BE49-F238E27FC236}">
              <a16:creationId xmlns:a16="http://schemas.microsoft.com/office/drawing/2014/main" id="{420921E6-1E54-4E87-9991-9B7821B0D85C}"/>
            </a:ext>
          </a:extLst>
        </xdr:cNvPr>
        <xdr:cNvSpPr/>
      </xdr:nvSpPr>
      <xdr:spPr>
        <a:xfrm rot="5400000" flipV="1">
          <a:off x="15632908" y="3493297"/>
          <a:ext cx="252410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25D6-27D0-4960-B6F4-630925E62809}">
  <dimension ref="A1:V151"/>
  <sheetViews>
    <sheetView zoomScale="188" workbookViewId="0">
      <selection activeCell="F1" sqref="F1:K1"/>
    </sheetView>
  </sheetViews>
  <sheetFormatPr baseColWidth="10" defaultColWidth="8.83203125" defaultRowHeight="15" x14ac:dyDescent="0.2"/>
  <cols>
    <col min="1" max="1" width="18" customWidth="1"/>
    <col min="2" max="2" width="19" customWidth="1"/>
    <col min="3" max="3" width="17.33203125" customWidth="1"/>
    <col min="4" max="4" width="20.1640625" customWidth="1"/>
    <col min="5" max="5" width="30.5" customWidth="1"/>
    <col min="6" max="6" width="21.83203125" customWidth="1"/>
    <col min="7" max="7" width="13.33203125" customWidth="1"/>
    <col min="8" max="8" width="14.6640625" customWidth="1"/>
    <col min="9" max="9" width="12.1640625" customWidth="1"/>
    <col min="10" max="10" width="18.5" customWidth="1"/>
    <col min="11" max="11" width="13.1640625" customWidth="1"/>
    <col min="12" max="12" width="16.5" customWidth="1"/>
    <col min="13" max="13" width="14.1640625" customWidth="1"/>
    <col min="14" max="14" width="13.1640625" customWidth="1"/>
    <col min="15" max="15" width="11.6640625" customWidth="1"/>
    <col min="16" max="16" width="11.5" customWidth="1"/>
    <col min="17" max="17" width="16.6640625" customWidth="1"/>
    <col min="18" max="18" width="14.6640625" customWidth="1"/>
    <col min="19" max="19" width="13.5" customWidth="1"/>
    <col min="20" max="20" width="9.33203125" customWidth="1"/>
    <col min="21" max="21" width="7.83203125" customWidth="1"/>
    <col min="22" max="22" width="10.1640625" customWidth="1"/>
    <col min="23" max="24" width="12.1640625" bestFit="1" customWidth="1"/>
    <col min="25" max="25" width="12" bestFit="1" customWidth="1"/>
  </cols>
  <sheetData>
    <row r="1" spans="1:22" ht="19" x14ac:dyDescent="0.25">
      <c r="A1" s="34" t="s">
        <v>45</v>
      </c>
      <c r="D1" s="34" t="s">
        <v>46</v>
      </c>
      <c r="F1" s="40" t="s">
        <v>72</v>
      </c>
      <c r="G1" s="40"/>
      <c r="H1" s="40"/>
      <c r="I1" s="40"/>
      <c r="J1" s="40"/>
      <c r="K1" s="40"/>
    </row>
    <row r="2" spans="1:22" ht="17" x14ac:dyDescent="0.2">
      <c r="A2" s="32" t="s">
        <v>14</v>
      </c>
      <c r="B2" s="15">
        <f>30000000000</f>
        <v>30000000000</v>
      </c>
      <c r="C2" t="s">
        <v>25</v>
      </c>
      <c r="D2" s="1" t="s">
        <v>6</v>
      </c>
      <c r="E2" s="15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2" x14ac:dyDescent="0.2">
      <c r="A3" s="31" t="s">
        <v>42</v>
      </c>
      <c r="B3" s="15">
        <f>PI()</f>
        <v>3.1415926535897931</v>
      </c>
      <c r="C3" t="s">
        <v>17</v>
      </c>
      <c r="D3" s="1" t="s">
        <v>37</v>
      </c>
      <c r="E3" s="15">
        <v>2.6352600000000002</v>
      </c>
      <c r="F3" s="14"/>
      <c r="R3" s="14"/>
    </row>
    <row r="4" spans="1:22" ht="17" x14ac:dyDescent="0.2">
      <c r="A4" t="s">
        <v>7</v>
      </c>
      <c r="B4" s="15">
        <v>1.5189065560246367E-11</v>
      </c>
      <c r="C4" t="s">
        <v>26</v>
      </c>
      <c r="D4" s="1" t="s">
        <v>38</v>
      </c>
      <c r="E4" s="15">
        <v>1.6080000000000001E-2</v>
      </c>
    </row>
    <row r="5" spans="1:22" x14ac:dyDescent="0.2">
      <c r="A5" t="s">
        <v>16</v>
      </c>
      <c r="B5" s="39">
        <v>9.1093837015000008E-31</v>
      </c>
      <c r="C5" t="s">
        <v>15</v>
      </c>
      <c r="D5" s="1" t="s">
        <v>39</v>
      </c>
      <c r="E5" s="15">
        <v>0.32897999999999999</v>
      </c>
    </row>
    <row r="6" spans="1:22" ht="17" x14ac:dyDescent="0.2">
      <c r="A6" t="s">
        <v>9</v>
      </c>
      <c r="B6" s="39">
        <v>6.6260701500000004E-30</v>
      </c>
      <c r="C6" t="s">
        <v>27</v>
      </c>
      <c r="D6" s="1" t="s">
        <v>40</v>
      </c>
      <c r="E6" s="15">
        <v>7.8850000000000003E-2</v>
      </c>
    </row>
    <row r="7" spans="1:22" ht="17" x14ac:dyDescent="0.25">
      <c r="A7" s="31" t="s">
        <v>43</v>
      </c>
      <c r="B7" s="15">
        <v>7.2979818000770197E-3</v>
      </c>
      <c r="C7" t="s">
        <v>17</v>
      </c>
    </row>
    <row r="8" spans="1:22" ht="17" x14ac:dyDescent="0.2">
      <c r="A8" t="s">
        <v>44</v>
      </c>
      <c r="B8" s="15">
        <f>(3*B2*B6)/(8*B3^3*B4^2)</f>
        <v>10.420698254813052</v>
      </c>
      <c r="C8" t="s">
        <v>17</v>
      </c>
      <c r="D8" s="1" t="s">
        <v>2</v>
      </c>
      <c r="E8" s="33">
        <v>7.5</v>
      </c>
    </row>
    <row r="9" spans="1:22" ht="17" x14ac:dyDescent="0.2">
      <c r="A9" t="s">
        <v>71</v>
      </c>
      <c r="B9" s="15">
        <f>(64*B3^4*B4^2)/(3*B6)</f>
        <v>72354291279.214935</v>
      </c>
      <c r="C9" t="s">
        <v>17</v>
      </c>
    </row>
    <row r="11" spans="1:22" ht="16" thickBot="1" x14ac:dyDescent="0.25"/>
    <row r="12" spans="1:22" s="35" customFormat="1" ht="19" x14ac:dyDescent="0.25">
      <c r="A12" s="36" t="s">
        <v>24</v>
      </c>
      <c r="M12" s="36" t="s">
        <v>52</v>
      </c>
    </row>
    <row r="13" spans="1:22" ht="22.5" customHeight="1" thickBot="1" x14ac:dyDescent="0.3">
      <c r="A13" s="1" t="s">
        <v>36</v>
      </c>
      <c r="B13" s="1" t="s">
        <v>3</v>
      </c>
      <c r="C13" s="1" t="s">
        <v>4</v>
      </c>
      <c r="D13" s="1" t="s">
        <v>5</v>
      </c>
      <c r="E13" s="1" t="s">
        <v>47</v>
      </c>
      <c r="F13" s="1" t="s">
        <v>21</v>
      </c>
      <c r="G13" s="1" t="s">
        <v>48</v>
      </c>
      <c r="H13" s="1" t="s">
        <v>49</v>
      </c>
      <c r="I13" s="1" t="s">
        <v>50</v>
      </c>
      <c r="J13" s="1" t="s">
        <v>68</v>
      </c>
      <c r="K13" s="1" t="s">
        <v>51</v>
      </c>
      <c r="L13" s="1"/>
      <c r="M13" s="17"/>
    </row>
    <row r="14" spans="1:22" ht="15.75" customHeight="1" x14ac:dyDescent="0.2">
      <c r="A14" t="s">
        <v>35</v>
      </c>
      <c r="B14" s="1" t="s">
        <v>17</v>
      </c>
      <c r="C14" s="1" t="s">
        <v>17</v>
      </c>
      <c r="D14" s="1" t="s">
        <v>17</v>
      </c>
      <c r="E14" s="1" t="s">
        <v>17</v>
      </c>
      <c r="F14" s="1" t="s">
        <v>17</v>
      </c>
      <c r="G14" s="1" t="s">
        <v>17</v>
      </c>
      <c r="H14" s="1" t="s">
        <v>17</v>
      </c>
      <c r="I14" s="1" t="s">
        <v>17</v>
      </c>
      <c r="J14">
        <v>109</v>
      </c>
      <c r="K14" s="1" t="s">
        <v>17</v>
      </c>
      <c r="L14" s="1"/>
      <c r="M14" s="8" t="s">
        <v>65</v>
      </c>
      <c r="N14" s="18"/>
      <c r="O14" s="18">
        <f>2*B15*B15+2*B16*B16+2*B17*B17+2*B18*B18+2*B19*B19+2*B20*B20+2*B21*B21</f>
        <v>1.0457270777830601</v>
      </c>
      <c r="P14" s="9" t="s">
        <v>10</v>
      </c>
      <c r="Q14" s="9">
        <f>2*B15*C15+2*B16*C16+2*B17*C17+2*B18*C18+2*B19*C19+2*B20*C20+2*B21*C21</f>
        <v>0.59225712535232</v>
      </c>
      <c r="R14" s="9" t="s">
        <v>11</v>
      </c>
      <c r="S14" s="9">
        <f>2*B15*D15+2*B16*D16+2*B17*D17+2*B18*D18+2*B19*D19+2*B20*D20+2*B21*D21</f>
        <v>0.21223179876657999</v>
      </c>
      <c r="T14" s="9" t="s">
        <v>12</v>
      </c>
      <c r="U14" s="9" t="s">
        <v>13</v>
      </c>
      <c r="V14" s="10">
        <f>2*B15*I15+2*B16*I16+2*B17*I17+2*B18*I18+2*B19*I19+2*B20*I20+2*B21*I21</f>
        <v>9.3698713428535523E-20</v>
      </c>
    </row>
    <row r="15" spans="1:22" x14ac:dyDescent="0.2">
      <c r="A15" t="s">
        <v>28</v>
      </c>
      <c r="B15">
        <v>1.9498399999999999E-2</v>
      </c>
      <c r="C15">
        <v>0.1173353</v>
      </c>
      <c r="D15">
        <v>1.4316382999999999</v>
      </c>
      <c r="E15" s="14">
        <v>7.0000000000000003E-19</v>
      </c>
      <c r="F15">
        <v>1520</v>
      </c>
      <c r="G15">
        <f>SQRT($E$2+($E$3*(F15/1000)^2)/(((F15/1000)^2)-$E$4)+($E$5*(F15/1000)^2)/(((F15/1000)^2)-$E$6))</f>
        <v>1.9985829371014441</v>
      </c>
      <c r="H15" s="14">
        <f t="shared" ref="H15:H21" si="0">((2*$B$5*$B$2)/($B$7*$B$6*((F15/10000000)^2)))*(E15/10000000)</f>
        <v>3.4244616322388825E-6</v>
      </c>
      <c r="I15" s="14">
        <f t="shared" ref="I15:I21" si="1">$B$8*E15*G15*((3/(G15^2+2))^2)*(2*$E$8+1)/F15</f>
        <v>3.8437408522117956E-20</v>
      </c>
      <c r="J15">
        <v>6570</v>
      </c>
      <c r="K15">
        <f t="shared" ref="K15:K21" si="2">B15*$N$23+C15*$N$24+D15*$N$25</f>
        <v>3.488813242808646E-20</v>
      </c>
      <c r="M15" s="3" t="s">
        <v>66</v>
      </c>
      <c r="N15" s="14"/>
      <c r="O15">
        <f>2*B15*C15+2*B16*C16+2*B17*C17+2*B18*C18+2*B19*C19+2*B20*C20+2*B21*C21</f>
        <v>0.59225712535232</v>
      </c>
      <c r="P15" t="s">
        <v>10</v>
      </c>
      <c r="Q15">
        <f>2*C15*C15+2*C16*C16+2*C17*C17+2*C18*C18+2*C19*C19+2*C20*C20+2*C21*C21</f>
        <v>0.98404766201127991</v>
      </c>
      <c r="R15" t="s">
        <v>11</v>
      </c>
      <c r="S15">
        <f>2*C15*D15+2*C16*D16+2*C17*D17+2*C18*D18+2*C19*D19+2*C20*D20+2*C21*D21</f>
        <v>1.0909900969169599</v>
      </c>
      <c r="T15" t="s">
        <v>12</v>
      </c>
      <c r="U15" t="s">
        <v>13</v>
      </c>
      <c r="V15" s="11">
        <f>2*C15*I15+2*C16*I16+2*C17*I17+2*C18*I18+2*C19*I19+2*C20*I20+2*C21*I21</f>
        <v>8.430066097610089E-20</v>
      </c>
    </row>
    <row r="16" spans="1:22" ht="16" thickBot="1" x14ac:dyDescent="0.25">
      <c r="A16" t="s">
        <v>29</v>
      </c>
      <c r="B16">
        <v>2.8191600000000001E-2</v>
      </c>
      <c r="C16">
        <v>3.0489999999999998E-4</v>
      </c>
      <c r="D16">
        <v>0.39526440000000002</v>
      </c>
      <c r="E16" s="14">
        <v>9.4099999999999994E-20</v>
      </c>
      <c r="F16">
        <v>974</v>
      </c>
      <c r="G16">
        <f t="shared" ref="G16:G21" si="3">SQRT($E$2+($E$3*(F16/1000)^2)/(((F16/1000)^2)-$E$4)+($E$5*(F16/1000)^2)/(((F16/1000)^2)-$E$6))</f>
        <v>2.0098506912666649</v>
      </c>
      <c r="H16" s="14">
        <f t="shared" si="0"/>
        <v>1.1211227108656632E-6</v>
      </c>
      <c r="I16" s="14">
        <f t="shared" si="1"/>
        <v>7.9882533845098749E-21</v>
      </c>
      <c r="J16">
        <v>10202</v>
      </c>
      <c r="K16">
        <f t="shared" si="2"/>
        <v>1.0894466399070395E-20</v>
      </c>
      <c r="M16" s="5" t="s">
        <v>67</v>
      </c>
      <c r="N16" s="19"/>
      <c r="O16" s="6">
        <f>2*B15*D15+2*B16*D16+2*B17*D17+2*B18*D18+2*B19*D19+2*B20*D20+2*B21*D21</f>
        <v>0.21223179876657999</v>
      </c>
      <c r="P16" s="6" t="s">
        <v>10</v>
      </c>
      <c r="Q16" s="6">
        <f>2*C15*D15+2*C16*D16+2*C17*D17+2*C18*D18+2*C19*D19+2*C20*D20+2*C21*D21</f>
        <v>1.0909900969169599</v>
      </c>
      <c r="R16" s="6" t="s">
        <v>11</v>
      </c>
      <c r="S16" s="6">
        <f>2*D15*D15+2*D16*D16+2*D17*D17+2*D18*D18+2*D19*D19+2*D20*D20+2*D21*D21</f>
        <v>5.7383517127268986</v>
      </c>
      <c r="T16" s="6" t="s">
        <v>12</v>
      </c>
      <c r="U16" s="6" t="s">
        <v>13</v>
      </c>
      <c r="V16" s="12">
        <f>2*D15*I15+2*D16*I16+2*D17*I17+2*D18*I18+2*D19*I19+2*D20*I20+2*D21*I21</f>
        <v>1.5947404222956246E-19</v>
      </c>
    </row>
    <row r="17" spans="1:19" x14ac:dyDescent="0.2">
      <c r="A17" t="s">
        <v>30</v>
      </c>
      <c r="B17">
        <v>0.1181329</v>
      </c>
      <c r="C17">
        <v>0</v>
      </c>
      <c r="D17">
        <v>9.9097000000000005E-3</v>
      </c>
      <c r="E17" s="14">
        <v>3.4100000000000001E-20</v>
      </c>
      <c r="F17">
        <v>801</v>
      </c>
      <c r="G17">
        <f t="shared" si="3"/>
        <v>2.0194253179971171</v>
      </c>
      <c r="H17" s="14">
        <f t="shared" si="0"/>
        <v>6.0071819644419145E-7</v>
      </c>
      <c r="I17" s="14">
        <f t="shared" si="1"/>
        <v>3.4920169756857231E-21</v>
      </c>
      <c r="J17">
        <v>12412</v>
      </c>
      <c r="K17">
        <f t="shared" si="2"/>
        <v>9.2644158022580325E-21</v>
      </c>
    </row>
    <row r="18" spans="1:19" ht="16" thickBot="1" x14ac:dyDescent="0.25">
      <c r="A18" t="s">
        <v>31</v>
      </c>
      <c r="B18">
        <v>0</v>
      </c>
      <c r="C18">
        <v>0.53538629999999998</v>
      </c>
      <c r="D18">
        <v>0.4617945</v>
      </c>
      <c r="E18" s="14">
        <v>1.48E-19</v>
      </c>
      <c r="F18">
        <v>655</v>
      </c>
      <c r="G18">
        <f t="shared" si="3"/>
        <v>2.0349284951262354</v>
      </c>
      <c r="H18" s="14">
        <f t="shared" si="0"/>
        <v>3.8990657253022473E-6</v>
      </c>
      <c r="I18" s="14">
        <f t="shared" si="1"/>
        <v>1.8296163156134044E-20</v>
      </c>
      <c r="J18">
        <v>15237</v>
      </c>
      <c r="K18">
        <f t="shared" si="2"/>
        <v>1.8281105191769162E-20</v>
      </c>
      <c r="L18" s="14"/>
      <c r="M18" t="s">
        <v>53</v>
      </c>
      <c r="N18" s="14"/>
      <c r="Q18" t="s">
        <v>54</v>
      </c>
    </row>
    <row r="19" spans="1:19" x14ac:dyDescent="0.2">
      <c r="A19" t="s">
        <v>32</v>
      </c>
      <c r="B19">
        <v>0</v>
      </c>
      <c r="C19">
        <v>0</v>
      </c>
      <c r="D19">
        <v>0.22113630000000001</v>
      </c>
      <c r="E19" s="14">
        <v>1.95E-20</v>
      </c>
      <c r="F19">
        <v>544</v>
      </c>
      <c r="G19">
        <f t="shared" si="3"/>
        <v>2.0579478223134786</v>
      </c>
      <c r="H19" s="14">
        <f t="shared" si="0"/>
        <v>7.4476327422595199E-7</v>
      </c>
      <c r="I19" s="14">
        <f t="shared" si="1"/>
        <v>2.847316061345225E-21</v>
      </c>
      <c r="J19">
        <v>18359</v>
      </c>
      <c r="K19">
        <f t="shared" si="2"/>
        <v>4.8848026898990296E-21</v>
      </c>
      <c r="L19" s="14"/>
      <c r="M19" s="20">
        <f>O14</f>
        <v>1.0457270777830601</v>
      </c>
      <c r="N19" s="18">
        <f>Q14</f>
        <v>0.59225712535232</v>
      </c>
      <c r="O19" s="2">
        <f>S14</f>
        <v>0.21223179876657999</v>
      </c>
      <c r="Q19" s="8">
        <f t="array" ref="Q19:S21">MINVERSE(M19:O21)</f>
        <v>1.548787324366468</v>
      </c>
      <c r="R19" s="9">
        <v>-1.1006415700066103</v>
      </c>
      <c r="S19" s="2">
        <v>0.15197519724017616</v>
      </c>
    </row>
    <row r="20" spans="1:19" x14ac:dyDescent="0.2">
      <c r="A20" t="s">
        <v>33</v>
      </c>
      <c r="B20">
        <v>0.71255400000000002</v>
      </c>
      <c r="C20">
        <v>0.41236469999999997</v>
      </c>
      <c r="D20">
        <v>9.2466599999999996E-2</v>
      </c>
      <c r="E20" s="14">
        <v>4.2100000000000001E-19</v>
      </c>
      <c r="F20">
        <v>521</v>
      </c>
      <c r="G20">
        <f t="shared" si="3"/>
        <v>2.0651565143073105</v>
      </c>
      <c r="H20" s="14">
        <f t="shared" si="0"/>
        <v>1.7530249200733992E-5</v>
      </c>
      <c r="I20" s="14">
        <f t="shared" si="1"/>
        <v>6.3801711886591567E-20</v>
      </c>
      <c r="J20">
        <v>19110</v>
      </c>
      <c r="K20">
        <f t="shared" si="2"/>
        <v>6.2826858327185522E-20</v>
      </c>
      <c r="L20" s="14"/>
      <c r="M20" s="3">
        <f>O15</f>
        <v>0.59225712535232</v>
      </c>
      <c r="N20" s="14">
        <f>Q15</f>
        <v>0.98404766201127991</v>
      </c>
      <c r="O20" s="4">
        <f>S15</f>
        <v>1.0909900969169599</v>
      </c>
      <c r="Q20" s="3">
        <v>-1.1006415700066106</v>
      </c>
      <c r="R20">
        <v>2.0697893289584015</v>
      </c>
      <c r="S20" s="4">
        <v>-0.35280662841005495</v>
      </c>
    </row>
    <row r="21" spans="1:19" ht="16" thickBot="1" x14ac:dyDescent="0.25">
      <c r="A21" t="s">
        <v>34</v>
      </c>
      <c r="B21">
        <v>0</v>
      </c>
      <c r="C21">
        <v>0.1468776</v>
      </c>
      <c r="D21">
        <v>0.62653809999999999</v>
      </c>
      <c r="E21" s="14">
        <v>6.5300000000000001E-20</v>
      </c>
      <c r="F21">
        <v>489</v>
      </c>
      <c r="G21">
        <f t="shared" si="3"/>
        <v>2.0775174429068048</v>
      </c>
      <c r="H21" s="14">
        <f t="shared" si="0"/>
        <v>3.0865754930387528E-6</v>
      </c>
      <c r="I21" s="14">
        <f t="shared" si="1"/>
        <v>1.0435499568814806E-20</v>
      </c>
      <c r="J21">
        <v>20448</v>
      </c>
      <c r="K21">
        <f t="shared" si="2"/>
        <v>1.6056685470021712E-20</v>
      </c>
      <c r="L21" s="14"/>
      <c r="M21" s="5">
        <f>O16</f>
        <v>0.21223179876657999</v>
      </c>
      <c r="N21" s="6">
        <f>Q16</f>
        <v>1.0909900969169599</v>
      </c>
      <c r="O21" s="7">
        <f>S16</f>
        <v>5.7383517127268986</v>
      </c>
      <c r="Q21" s="5">
        <v>0.15197519724017611</v>
      </c>
      <c r="R21" s="6">
        <v>-0.35280662841005483</v>
      </c>
      <c r="S21" s="7">
        <v>0.23572179537964463</v>
      </c>
    </row>
    <row r="22" spans="1:19" ht="16" thickBot="1" x14ac:dyDescent="0.25">
      <c r="H22" s="14"/>
      <c r="I22" s="14"/>
      <c r="L22" s="14"/>
    </row>
    <row r="23" spans="1:19" ht="18" thickTop="1" x14ac:dyDescent="0.2">
      <c r="A23" s="40" t="s">
        <v>70</v>
      </c>
      <c r="B23" s="40"/>
      <c r="C23" s="40"/>
      <c r="D23" s="40"/>
      <c r="E23" s="40"/>
      <c r="F23" s="40"/>
      <c r="H23" s="14"/>
      <c r="I23" s="14"/>
      <c r="L23" s="14"/>
      <c r="M23" s="21" t="s">
        <v>10</v>
      </c>
      <c r="N23" s="22">
        <f t="array" ref="N23:N25">MMULT(Q19:S21,V14:V16)</f>
        <v>7.6570666840757247E-20</v>
      </c>
      <c r="O23" s="37" t="s">
        <v>64</v>
      </c>
    </row>
    <row r="24" spans="1:19" ht="17" x14ac:dyDescent="0.2">
      <c r="A24" s="40"/>
      <c r="B24" s="40"/>
      <c r="C24" s="40"/>
      <c r="D24" s="40"/>
      <c r="E24" s="40"/>
      <c r="F24" s="40"/>
      <c r="H24" s="14"/>
      <c r="I24" s="14"/>
      <c r="L24" s="14"/>
      <c r="M24" s="23" t="s">
        <v>11</v>
      </c>
      <c r="N24" s="24">
        <v>1.50924102989561E-20</v>
      </c>
      <c r="O24" s="37" t="s">
        <v>64</v>
      </c>
    </row>
    <row r="25" spans="1:19" ht="18" thickBot="1" x14ac:dyDescent="0.25">
      <c r="A25" s="40"/>
      <c r="B25" s="40"/>
      <c r="C25" s="40"/>
      <c r="D25" s="40"/>
      <c r="E25" s="40"/>
      <c r="F25" s="40"/>
      <c r="H25" s="14"/>
      <c r="I25" s="14"/>
      <c r="L25" s="14"/>
      <c r="M25" s="25" t="s">
        <v>12</v>
      </c>
      <c r="N25" s="26">
        <v>2.2089556033536917E-20</v>
      </c>
      <c r="O25" s="37" t="s">
        <v>64</v>
      </c>
    </row>
    <row r="26" spans="1:19" ht="17" thickTop="1" thickBot="1" x14ac:dyDescent="0.25">
      <c r="H26" s="14"/>
      <c r="I26" s="14"/>
      <c r="L26" s="14"/>
    </row>
    <row r="27" spans="1:19" ht="16" thickBot="1" x14ac:dyDescent="0.25">
      <c r="H27" s="14"/>
      <c r="I27" s="14"/>
      <c r="M27" s="27" t="s">
        <v>18</v>
      </c>
      <c r="N27" s="28">
        <f>N24/N25</f>
        <v>0.68323737589123223</v>
      </c>
    </row>
    <row r="28" spans="1:19" x14ac:dyDescent="0.2">
      <c r="H28" s="14"/>
      <c r="I28" s="14"/>
    </row>
    <row r="29" spans="1:19" x14ac:dyDescent="0.2">
      <c r="H29" s="14"/>
      <c r="I29" s="14"/>
      <c r="M29" s="1" t="s">
        <v>20</v>
      </c>
      <c r="N29">
        <f>SQRT((((I15-K15)^2)+((I16-K16)^2)+((I17-K17)^2)+((I18-K18)^2)+((I19-K19)^2)+((I20-K20)^2)+((I21-K21)^2))/(N30-3))</f>
        <v>4.7713643749120153E-21</v>
      </c>
    </row>
    <row r="30" spans="1:19" x14ac:dyDescent="0.2">
      <c r="H30" s="14"/>
      <c r="I30" s="14"/>
      <c r="M30" s="29" t="s">
        <v>22</v>
      </c>
      <c r="N30" s="30">
        <f>COUNTIF(E15:E26,"&gt;0")</f>
        <v>7</v>
      </c>
    </row>
    <row r="31" spans="1:19" s="13" customFormat="1" ht="16" thickBot="1" x14ac:dyDescent="0.25"/>
    <row r="32" spans="1:19" ht="20" thickTop="1" x14ac:dyDescent="0.25">
      <c r="A32" s="34" t="s">
        <v>23</v>
      </c>
      <c r="N32">
        <f>B9/(E34^3)/1/(2*C34+1)</f>
        <v>1.393912399450458E+21</v>
      </c>
    </row>
    <row r="33" spans="1:20" ht="18" x14ac:dyDescent="0.25">
      <c r="A33" s="1" t="s">
        <v>0</v>
      </c>
      <c r="B33" s="1" t="s">
        <v>1</v>
      </c>
      <c r="C33" s="1" t="s">
        <v>19</v>
      </c>
      <c r="D33" s="1" t="s">
        <v>55</v>
      </c>
      <c r="E33" s="1" t="s">
        <v>8</v>
      </c>
      <c r="F33" s="1" t="s">
        <v>48</v>
      </c>
      <c r="G33" s="1" t="s">
        <v>3</v>
      </c>
      <c r="H33" s="1" t="s">
        <v>4</v>
      </c>
      <c r="I33" s="1" t="s">
        <v>5</v>
      </c>
      <c r="J33" s="1" t="s">
        <v>41</v>
      </c>
      <c r="K33" s="1" t="s">
        <v>58</v>
      </c>
      <c r="L33" s="1" t="s">
        <v>59</v>
      </c>
      <c r="M33" s="1" t="s">
        <v>60</v>
      </c>
      <c r="N33" s="1" t="s">
        <v>61</v>
      </c>
      <c r="O33" s="1" t="s">
        <v>62</v>
      </c>
      <c r="P33" s="1" t="s">
        <v>63</v>
      </c>
      <c r="Q33" s="1" t="s">
        <v>56</v>
      </c>
      <c r="R33" s="1" t="s">
        <v>57</v>
      </c>
      <c r="S33" s="1"/>
      <c r="T33" s="1"/>
    </row>
    <row r="34" spans="1:20" x14ac:dyDescent="0.2">
      <c r="A34" t="s">
        <v>35</v>
      </c>
      <c r="B34" t="s">
        <v>28</v>
      </c>
      <c r="C34">
        <v>6.5</v>
      </c>
      <c r="D34">
        <f>J15-J14</f>
        <v>6461</v>
      </c>
      <c r="E34">
        <f>1/D34</f>
        <v>1.5477480266212662E-4</v>
      </c>
      <c r="F34">
        <f>SQRT($E$2+($E$3*(E34*10000)^2)/(((E34*10000)^2)-$E$4)+($E$5*(E34*10000)^2)/(((E34*10000)^2)-$E$6))</f>
        <v>1.9983107598887508</v>
      </c>
      <c r="G34">
        <v>1.9498399999999999E-2</v>
      </c>
      <c r="H34">
        <v>0.1173353</v>
      </c>
      <c r="I34">
        <v>1.4316382999999999</v>
      </c>
      <c r="J34">
        <v>18.917280000000002</v>
      </c>
      <c r="K34">
        <f>$N$23*G34+$N$24*H34+$N$25*I34</f>
        <v>3.488813242808646E-20</v>
      </c>
      <c r="L34" s="14">
        <f>((($B$4*$B$6)/(4*$B$3*$B$5*$B$2))^2)*(J34)</f>
        <v>1.6247727828467435E-42</v>
      </c>
      <c r="M34">
        <f>$B$9*F34*(((F34^2+2)/3)^2)*(K34)/((2*C34+1)*E34^3)</f>
        <v>387.84474709969709</v>
      </c>
      <c r="N34" s="14">
        <f>(64*($B$3^4)*(F34^3)*L34)/(3*$B$6*(E34^3)*(2*C34+1))</f>
        <v>78.334862237973823</v>
      </c>
      <c r="O34">
        <f>SUM(M34:N34)</f>
        <v>466.17960933767091</v>
      </c>
      <c r="P34">
        <f>SUM(O34)</f>
        <v>466.17960933767091</v>
      </c>
      <c r="Q34">
        <f>O34/P34</f>
        <v>1</v>
      </c>
      <c r="R34">
        <f>1/O34</f>
        <v>2.1450959672405221E-3</v>
      </c>
    </row>
    <row r="35" spans="1:20" x14ac:dyDescent="0.2">
      <c r="F35">
        <f t="shared" ref="F35:F67" si="4">SQRT($E$2+($E$3*(E35*10000)^2)/(((E35*10000)^2)-$E$4)+($E$5*(E35*10000)^2)/(((E35*10000)^2)-$E$6))</f>
        <v>1</v>
      </c>
      <c r="L35" s="14"/>
      <c r="N35" s="14"/>
    </row>
    <row r="36" spans="1:20" x14ac:dyDescent="0.2">
      <c r="A36" t="s">
        <v>35</v>
      </c>
      <c r="B36" t="s">
        <v>29</v>
      </c>
      <c r="C36">
        <v>5.5</v>
      </c>
      <c r="D36">
        <f>$J$16-J14</f>
        <v>10093</v>
      </c>
      <c r="E36">
        <f t="shared" ref="E36:E67" si="5">1/D36</f>
        <v>9.9078569305459223E-5</v>
      </c>
      <c r="F36">
        <f t="shared" si="4"/>
        <v>2.0091934702588357</v>
      </c>
      <c r="G36">
        <v>2.8191600000000001E-2</v>
      </c>
      <c r="H36">
        <v>3.0489999999999998E-4</v>
      </c>
      <c r="I36">
        <v>0.39526440000000002</v>
      </c>
      <c r="J36">
        <v>0</v>
      </c>
      <c r="K36">
        <f>$N$23*G36+$N$24*H36+$N$25*I36</f>
        <v>1.0894466399070395E-20</v>
      </c>
      <c r="L36" s="14">
        <f>((($B$4*$B$6)/(4*$B$3*$B$5*$B$2))^2)*(J36)</f>
        <v>0</v>
      </c>
      <c r="M36">
        <f>$B$9*F36*(((F36^2+2)/3)^2)*(K36)/((2*C36+1)*E36^3)</f>
        <v>549.47894854560309</v>
      </c>
      <c r="N36" s="14">
        <f>(64*($B$3^4)*(F36^3)*L36)/(3*$B$6*(E36^3)*(2*C36+1))</f>
        <v>0</v>
      </c>
      <c r="O36">
        <f t="shared" ref="O36:O37" si="6">SUM(M36:N36)</f>
        <v>549.47894854560309</v>
      </c>
      <c r="P36">
        <f>SUM(O36:O37)</f>
        <v>633.67212885184779</v>
      </c>
      <c r="Q36">
        <f>O36/$P$36</f>
        <v>0.86713447463944082</v>
      </c>
      <c r="R36">
        <f>1/SUM(O36:O37)</f>
        <v>1.5781031774458861E-3</v>
      </c>
    </row>
    <row r="37" spans="1:20" x14ac:dyDescent="0.2">
      <c r="A37" t="s">
        <v>28</v>
      </c>
      <c r="B37" t="s">
        <v>29</v>
      </c>
      <c r="C37">
        <v>5.5</v>
      </c>
      <c r="D37">
        <f>$J$16-J15</f>
        <v>3632</v>
      </c>
      <c r="E37">
        <f t="shared" si="5"/>
        <v>2.7533039647577095E-4</v>
      </c>
      <c r="F37">
        <f t="shared" si="4"/>
        <v>1.9933137176916458</v>
      </c>
      <c r="G37">
        <v>3.3110899999999999E-2</v>
      </c>
      <c r="H37">
        <v>0.17079839999999999</v>
      </c>
      <c r="I37">
        <v>1.0863665</v>
      </c>
      <c r="J37">
        <v>20.824619999999999</v>
      </c>
      <c r="K37">
        <f>$N$23*G37+$N$24*H37+$N$25*I37</f>
        <v>2.9110436898610234E-20</v>
      </c>
      <c r="L37" s="14">
        <f>((($B$4*$B$6)/(4*$B$3*$B$5*$B$2))^2)*(J37)</f>
        <v>1.7885909490754459E-42</v>
      </c>
      <c r="M37">
        <f>$B$9*F37*(((F37^2+2)/3)^2)*(K37)/((2*C37+1)*E37^3)</f>
        <v>66.455515265252856</v>
      </c>
      <c r="N37" s="14">
        <f>(64*($B$3^4)*(F37^3)*L37)/(3*$B$6*(E37^3)*(2*C37+1))</f>
        <v>17.737665040991853</v>
      </c>
      <c r="O37">
        <f t="shared" si="6"/>
        <v>84.193180306244713</v>
      </c>
      <c r="Q37">
        <f>O37/$P$36</f>
        <v>0.13286552536055918</v>
      </c>
      <c r="R37">
        <f>1/O37</f>
        <v>1.1877446562329572E-2</v>
      </c>
    </row>
    <row r="38" spans="1:20" x14ac:dyDescent="0.2">
      <c r="F38">
        <f t="shared" si="4"/>
        <v>1</v>
      </c>
      <c r="L38" s="14"/>
      <c r="N38" s="14"/>
    </row>
    <row r="39" spans="1:20" x14ac:dyDescent="0.2">
      <c r="A39" t="s">
        <v>35</v>
      </c>
      <c r="B39" t="s">
        <v>30</v>
      </c>
      <c r="C39">
        <v>4.5</v>
      </c>
      <c r="D39">
        <f>$J$17-J14</f>
        <v>12303</v>
      </c>
      <c r="E39">
        <f t="shared" si="5"/>
        <v>8.1280988376818657E-5</v>
      </c>
      <c r="F39">
        <f t="shared" si="4"/>
        <v>2.0185553240918312</v>
      </c>
      <c r="G39">
        <v>0</v>
      </c>
      <c r="H39">
        <v>0.17326159999999999</v>
      </c>
      <c r="I39">
        <v>9.9097000000000005E-3</v>
      </c>
      <c r="J39">
        <v>0</v>
      </c>
      <c r="K39">
        <f>$N$23*G39+$N$24*H39+$N$25*I39</f>
        <v>2.8338360296791527E-21</v>
      </c>
      <c r="L39" s="14">
        <f>((($B$4*$B$6)/(4*$B$3*$B$5*$B$2))^2)*(J39)</f>
        <v>0</v>
      </c>
      <c r="M39">
        <f>$B$9*F39*(((F39^2+2)/3)^2)*(K39)/((2*C39+1)*E39^3)</f>
        <v>316.00989633506867</v>
      </c>
      <c r="N39" s="14">
        <f>(64*($B$3^4)*(F39^3)*L39)/(3*$B$6*(E39^3)*(2*C39+1))</f>
        <v>0</v>
      </c>
      <c r="O39">
        <f t="shared" ref="O39:O67" si="7">SUM(M39:N39)</f>
        <v>316.00989633506867</v>
      </c>
      <c r="P39">
        <f>SUM(O39:O41)</f>
        <v>504.68329877526588</v>
      </c>
      <c r="Q39">
        <f>O39/$P$39</f>
        <v>0.62615485216558953</v>
      </c>
      <c r="R39">
        <f>1/SUM(O39:O41)</f>
        <v>1.9814406429274319E-3</v>
      </c>
    </row>
    <row r="40" spans="1:20" x14ac:dyDescent="0.2">
      <c r="A40" t="s">
        <v>28</v>
      </c>
      <c r="B40" t="s">
        <v>30</v>
      </c>
      <c r="C40">
        <v>4.5</v>
      </c>
      <c r="D40">
        <f>$J$17-J15</f>
        <v>5842</v>
      </c>
      <c r="E40">
        <f t="shared" si="5"/>
        <v>1.7117425539198904E-4</v>
      </c>
      <c r="F40">
        <f t="shared" si="4"/>
        <v>1.9969676653392465</v>
      </c>
      <c r="G40">
        <v>4.2010000000000002E-4</v>
      </c>
      <c r="H40">
        <v>1.0574399999999999E-2</v>
      </c>
      <c r="I40">
        <v>0.71616100000000005</v>
      </c>
      <c r="J40">
        <v>0</v>
      </c>
      <c r="K40">
        <f>$N$23*G40+$N$24*H40+$N$25*I40</f>
        <v>1.6011439059138916E-20</v>
      </c>
      <c r="L40" s="14">
        <f>((($B$4*$B$6)/(4*$B$3*$B$5*$B$2))^2)*(J40)</f>
        <v>0</v>
      </c>
      <c r="M40">
        <f>$B$9*F40*(((F40^2+2)/3)^2)*(K40)/((2*C40+1)*E40^3)</f>
        <v>183.76127595320045</v>
      </c>
      <c r="N40" s="14">
        <f>(64*($B$3^4)*(F40^3)*L40)/(3*$B$6*(E40^3)*(2*C40+1))</f>
        <v>0</v>
      </c>
      <c r="O40">
        <f>SUM(M40:N40)</f>
        <v>183.76127595320045</v>
      </c>
      <c r="Q40">
        <f>O40/$P$39</f>
        <v>0.36411206076987473</v>
      </c>
      <c r="R40">
        <f>1/SUM(O40:O41)</f>
        <v>5.3001641305375005E-3</v>
      </c>
    </row>
    <row r="41" spans="1:20" x14ac:dyDescent="0.2">
      <c r="A41" t="s">
        <v>29</v>
      </c>
      <c r="B41" t="s">
        <v>30</v>
      </c>
      <c r="C41">
        <v>4.5</v>
      </c>
      <c r="D41">
        <f>$J$17-J16</f>
        <v>2210</v>
      </c>
      <c r="E41">
        <f t="shared" si="5"/>
        <v>4.5248868778280545E-4</v>
      </c>
      <c r="F41">
        <f t="shared" si="4"/>
        <v>1.9918792885676648</v>
      </c>
      <c r="G41">
        <v>3.0051000000000001E-3</v>
      </c>
      <c r="H41">
        <v>6.7397499999999999E-2</v>
      </c>
      <c r="I41">
        <v>0.12709429999999999</v>
      </c>
      <c r="J41">
        <v>10.515752000000001</v>
      </c>
      <c r="K41">
        <f>$N$23*G41+$N$24*H41+$N$25*I41</f>
        <v>4.0547498954402043E-21</v>
      </c>
      <c r="L41" s="14">
        <f>((($B$4*$B$6)/(4*$B$3*$B$5*$B$2))^2)*(J41)</f>
        <v>9.0317993077050243E-43</v>
      </c>
      <c r="M41">
        <f>$B$9*F41*(((F41^2+2)/3)^2)*(K41)/((2*C41+1)*E41^3)</f>
        <v>2.4958739224379594</v>
      </c>
      <c r="N41" s="14">
        <f>(64*($B$3^4)*(F41^3)*L41)/(3*$B$6*(E41^3)*(2*C41+1))</f>
        <v>2.416252564558842</v>
      </c>
      <c r="O41">
        <f>SUM(M41:N41)</f>
        <v>4.9121264869968009</v>
      </c>
      <c r="Q41">
        <f>O41/$P$39</f>
        <v>9.7330870645358086E-3</v>
      </c>
      <c r="R41">
        <f>1/SUM(O41)</f>
        <v>0.20357781963619279</v>
      </c>
    </row>
    <row r="42" spans="1:20" x14ac:dyDescent="0.2">
      <c r="F42">
        <f t="shared" si="4"/>
        <v>1</v>
      </c>
      <c r="L42" s="14"/>
      <c r="N42" s="14"/>
    </row>
    <row r="43" spans="1:20" x14ac:dyDescent="0.2">
      <c r="A43" t="s">
        <v>35</v>
      </c>
      <c r="B43" t="s">
        <v>31</v>
      </c>
      <c r="C43">
        <v>4.5</v>
      </c>
      <c r="D43">
        <f>$J$18-J14</f>
        <v>15128</v>
      </c>
      <c r="E43">
        <f t="shared" si="5"/>
        <v>6.6102591221575886E-5</v>
      </c>
      <c r="F43">
        <f t="shared" si="4"/>
        <v>2.0340501470535433</v>
      </c>
      <c r="G43">
        <v>0</v>
      </c>
      <c r="H43">
        <v>0.53538629999999998</v>
      </c>
      <c r="I43">
        <v>0.4617945</v>
      </c>
      <c r="J43">
        <v>0</v>
      </c>
      <c r="K43">
        <f>$N$23*G43+$N$24*H43+$N$25*I43</f>
        <v>1.8281105191769162E-20</v>
      </c>
      <c r="L43" s="14">
        <f>((($B$4*$B$6)/(4*$B$3*$B$5*$B$2))^2)*(J43)</f>
        <v>0</v>
      </c>
      <c r="M43">
        <f>$B$9*F43*(((F43^2+2)/3)^2)*(K43)/((2*C43+1)*E43^3)</f>
        <v>3898.4649365319174</v>
      </c>
      <c r="N43" s="14">
        <f>(64*($B$3^4)*(F43^3)*L43)/(3*$B$6*(E43^3)*(2*C43+1))</f>
        <v>0</v>
      </c>
      <c r="O43">
        <f t="shared" si="7"/>
        <v>3898.4649365319174</v>
      </c>
      <c r="P43">
        <f>SUM(O43:O46)</f>
        <v>4356.9611474192643</v>
      </c>
      <c r="Q43">
        <f>O43/$P$43</f>
        <v>0.89476697281110129</v>
      </c>
      <c r="R43">
        <f>1/SUM(O43:O46)</f>
        <v>2.2951776850071859E-4</v>
      </c>
    </row>
    <row r="44" spans="1:20" x14ac:dyDescent="0.2">
      <c r="A44" t="s">
        <v>28</v>
      </c>
      <c r="B44" t="s">
        <v>31</v>
      </c>
      <c r="C44">
        <v>4.5</v>
      </c>
      <c r="D44">
        <f>$J$18-J15</f>
        <v>8667</v>
      </c>
      <c r="E44">
        <f t="shared" si="5"/>
        <v>1.1538017768547363E-4</v>
      </c>
      <c r="F44">
        <f t="shared" si="4"/>
        <v>2.0042884260989471</v>
      </c>
      <c r="G44">
        <v>1.0104800000000001E-2</v>
      </c>
      <c r="H44">
        <v>0.153285</v>
      </c>
      <c r="I44">
        <v>7.1389099999999997E-2</v>
      </c>
      <c r="J44">
        <v>0</v>
      </c>
      <c r="K44">
        <f>$N$23*G44+$N$24*H44+$N$25*I44</f>
        <v>4.6641249116017402E-21</v>
      </c>
      <c r="L44" s="14">
        <f>((($B$4*$B$6)/(4*$B$3*$B$5*$B$2))^2)*(J44)</f>
        <v>0</v>
      </c>
      <c r="M44">
        <f>$B$9*F44*(((F44^2+2)/3)^2)*(K44)/((2*C44+1)*E44^3)</f>
        <v>177.15092779683823</v>
      </c>
      <c r="N44" s="14">
        <f>(64*($B$3^4)*(F44^3)*L44)/(3*$B$6*(E44^3)*(2*C44+1))</f>
        <v>0</v>
      </c>
      <c r="O44">
        <f t="shared" si="7"/>
        <v>177.15092779683823</v>
      </c>
      <c r="Q44">
        <f>O44/$P$43</f>
        <v>4.0659285635762231E-2</v>
      </c>
      <c r="R44">
        <f>1/SUM(O44:O46)</f>
        <v>2.1810431062552478E-3</v>
      </c>
    </row>
    <row r="45" spans="1:20" x14ac:dyDescent="0.2">
      <c r="A45" t="s">
        <v>29</v>
      </c>
      <c r="B45" t="s">
        <v>31</v>
      </c>
      <c r="C45">
        <v>4.5</v>
      </c>
      <c r="D45">
        <f>$J$18-J16</f>
        <v>5035</v>
      </c>
      <c r="E45">
        <f t="shared" si="5"/>
        <v>1.9860973187686197E-4</v>
      </c>
      <c r="F45">
        <f t="shared" si="4"/>
        <v>1.9954289785582549</v>
      </c>
      <c r="G45">
        <v>7.0380700000000004E-2</v>
      </c>
      <c r="H45">
        <v>1.11415E-2</v>
      </c>
      <c r="I45">
        <v>1.2837379</v>
      </c>
      <c r="J45">
        <v>5.0077489999999996</v>
      </c>
      <c r="K45">
        <f>$N$23*G45+$N$24*H45+$N$25*I45</f>
        <v>3.3914449495490117E-20</v>
      </c>
      <c r="L45" s="14">
        <f>((($B$4*$B$6)/(4*$B$3*$B$5*$B$2))^2)*(J45)</f>
        <v>4.3010698570449853E-43</v>
      </c>
      <c r="M45">
        <f>$B$9*F45*(((F45^2+2)/3)^2)*(K45)/((2*C45+1)*E45^3)</f>
        <v>248.48252812997924</v>
      </c>
      <c r="N45" s="14">
        <f>(64*($B$3^4)*(F45^3)*L45)/(3*$B$6*(E45^3)*(2*C45+1))</f>
        <v>13.679994616503505</v>
      </c>
      <c r="O45">
        <f t="shared" si="7"/>
        <v>262.16252274648275</v>
      </c>
      <c r="Q45">
        <f>O45/$P$43</f>
        <v>6.01709572052916E-2</v>
      </c>
      <c r="R45">
        <f>1/SUM(O45:O46)</f>
        <v>3.5543513970280457E-3</v>
      </c>
    </row>
    <row r="46" spans="1:20" x14ac:dyDescent="0.2">
      <c r="A46" t="s">
        <v>30</v>
      </c>
      <c r="B46" t="s">
        <v>31</v>
      </c>
      <c r="C46">
        <v>4.5</v>
      </c>
      <c r="D46">
        <f>$J$18-J17</f>
        <v>2825</v>
      </c>
      <c r="E46">
        <f t="shared" si="5"/>
        <v>3.5398230088495576E-4</v>
      </c>
      <c r="F46">
        <f t="shared" si="4"/>
        <v>1.9924129650247335</v>
      </c>
      <c r="G46">
        <v>0.12787009999999999</v>
      </c>
      <c r="H46">
        <v>5.9401999999999996E-3</v>
      </c>
      <c r="I46">
        <v>2.80585E-2</v>
      </c>
      <c r="J46">
        <v>11.802659999999999</v>
      </c>
      <c r="K46">
        <f>$N$23*G46+$N$24*H46+$N$25*I46</f>
        <v>1.0500550569619167E-20</v>
      </c>
      <c r="L46" s="14">
        <f>((($B$4*$B$6)/(4*$B$3*$B$5*$B$2))^2)*(J46)</f>
        <v>1.0137102550257725E-42</v>
      </c>
      <c r="M46">
        <f>$B$9*F46*(((F46^2+2)/3)^2)*(K46)/((2*C46+1)*E46^3)</f>
        <v>13.513721217836126</v>
      </c>
      <c r="N46" s="14">
        <f>(64*($B$3^4)*(F46^3)*L46)/(3*$B$6*(E46^3)*(2*C46+1))</f>
        <v>5.6690391261896727</v>
      </c>
      <c r="O46">
        <f t="shared" si="7"/>
        <v>19.182760344025798</v>
      </c>
      <c r="Q46">
        <f>O46/$P$43</f>
        <v>4.4027843478448786E-3</v>
      </c>
      <c r="R46">
        <f>1/O46</f>
        <v>5.2130140921634149E-2</v>
      </c>
    </row>
    <row r="47" spans="1:20" x14ac:dyDescent="0.2">
      <c r="F47">
        <f t="shared" si="4"/>
        <v>1</v>
      </c>
      <c r="L47" s="14"/>
      <c r="N47" s="14"/>
    </row>
    <row r="48" spans="1:20" x14ac:dyDescent="0.2">
      <c r="A48" t="s">
        <v>35</v>
      </c>
      <c r="B48" t="s">
        <v>32</v>
      </c>
      <c r="C48">
        <v>1.5</v>
      </c>
      <c r="D48">
        <f>$J$19-J14</f>
        <v>18250</v>
      </c>
      <c r="E48">
        <f t="shared" si="5"/>
        <v>5.4794520547945207E-5</v>
      </c>
      <c r="F48">
        <f t="shared" si="4"/>
        <v>2.0568248906881119</v>
      </c>
      <c r="G48">
        <v>0</v>
      </c>
      <c r="H48">
        <v>0</v>
      </c>
      <c r="I48">
        <v>0.22113630000000001</v>
      </c>
      <c r="J48">
        <v>0</v>
      </c>
      <c r="K48">
        <f>$N$23*G48+$N$24*H48+$N$25*I48</f>
        <v>4.8848026898990296E-21</v>
      </c>
      <c r="L48" s="14">
        <f>((($B$4*$B$6)/(4*$B$3*$B$5*$B$2))^2)*(J48)</f>
        <v>0</v>
      </c>
      <c r="M48">
        <f>$B$9*F48*(((F48^2+2)/3)^2)*(K48)/((2*C48+1)*E48^3)</f>
        <v>4764.7984744521282</v>
      </c>
      <c r="N48" s="14">
        <f>(64*($B$3^4)*(F48^3)*L48)/(3*$B$6*(E48^3)*(2*C48+1))</f>
        <v>0</v>
      </c>
      <c r="O48">
        <f t="shared" si="7"/>
        <v>4764.7984744521282</v>
      </c>
      <c r="P48">
        <f>SUM(O48:O52)</f>
        <v>6975.4139654202772</v>
      </c>
      <c r="Q48">
        <f>O48/$P$48</f>
        <v>0.68308468831713898</v>
      </c>
      <c r="R48">
        <f>1/SUM(O48:O52)</f>
        <v>1.433606671886962E-4</v>
      </c>
    </row>
    <row r="49" spans="1:18" x14ac:dyDescent="0.2">
      <c r="A49" t="s">
        <v>28</v>
      </c>
      <c r="B49" t="s">
        <v>32</v>
      </c>
      <c r="C49">
        <v>1.5</v>
      </c>
      <c r="D49">
        <f>$J$19-J15</f>
        <v>11789</v>
      </c>
      <c r="E49">
        <f t="shared" si="5"/>
        <v>8.4824836712189334E-5</v>
      </c>
      <c r="F49">
        <f t="shared" si="4"/>
        <v>2.016176540258924</v>
      </c>
      <c r="G49">
        <v>0</v>
      </c>
      <c r="H49">
        <v>0</v>
      </c>
      <c r="I49">
        <v>0.34628750000000003</v>
      </c>
      <c r="J49">
        <v>0</v>
      </c>
      <c r="K49">
        <f>$N$23*G49+$N$24*H49+$N$25*I49</f>
        <v>7.649337134963416E-21</v>
      </c>
      <c r="L49" s="14">
        <f>((($B$4*$B$6)/(4*$B$3*$B$5*$B$2))^2)*(J49)</f>
        <v>0</v>
      </c>
      <c r="M49">
        <f>$B$9*F49*(((F49^2+2)/3)^2)*(K49)/((2*C49+1)*E49^3)</f>
        <v>1868.1083451761267</v>
      </c>
      <c r="N49" s="14">
        <f>(64*($B$3^4)*(F49^3)*L49)/(3*$B$6*(E49^3)*(2*C49+1))</f>
        <v>0</v>
      </c>
      <c r="O49">
        <f t="shared" si="7"/>
        <v>1868.1083451761267</v>
      </c>
      <c r="Q49">
        <f>O49/$P$48</f>
        <v>0.26781325874522072</v>
      </c>
      <c r="R49">
        <f>1/SUM(O49:O52)</f>
        <v>4.5236270354825274E-4</v>
      </c>
    </row>
    <row r="50" spans="1:18" x14ac:dyDescent="0.2">
      <c r="A50" t="s">
        <v>29</v>
      </c>
      <c r="B50" t="s">
        <v>32</v>
      </c>
      <c r="C50">
        <v>1.5</v>
      </c>
      <c r="D50">
        <f>$J$19-J16</f>
        <v>8157</v>
      </c>
      <c r="E50">
        <f t="shared" si="5"/>
        <v>1.225940909648155E-4</v>
      </c>
      <c r="F50">
        <f t="shared" si="4"/>
        <v>2.0027369073909664</v>
      </c>
      <c r="G50">
        <v>0</v>
      </c>
      <c r="H50">
        <v>4.2339999999999999E-3</v>
      </c>
      <c r="I50">
        <v>7.3882900000000001E-2</v>
      </c>
      <c r="J50">
        <v>0</v>
      </c>
      <c r="K50">
        <f>$N$23*G50+$N$24*H50+$N$25*I50</f>
        <v>1.6959417246759849E-21</v>
      </c>
      <c r="L50" s="14">
        <f>((($B$4*$B$6)/(4*$B$3*$B$5*$B$2))^2)*(J50)</f>
        <v>0</v>
      </c>
      <c r="M50">
        <f>$B$9*F50*(((F50^2+2)/3)^2)*(K50)/((2*C50+1)*E50^3)</f>
        <v>133.86744584191825</v>
      </c>
      <c r="N50" s="14">
        <f>(64*($B$3^4)*(F50^3)*L50)/(3*$B$6*(E50^3)*(2*C50+1))</f>
        <v>0</v>
      </c>
      <c r="O50">
        <f t="shared" si="7"/>
        <v>133.86744584191825</v>
      </c>
      <c r="Q50">
        <f>O50/$P$48</f>
        <v>1.9191326350744057E-2</v>
      </c>
      <c r="R50">
        <f>1/SUM(O50:O52)</f>
        <v>2.9196471147706245E-3</v>
      </c>
    </row>
    <row r="51" spans="1:18" x14ac:dyDescent="0.2">
      <c r="A51" t="s">
        <v>30</v>
      </c>
      <c r="B51" t="s">
        <v>32</v>
      </c>
      <c r="C51">
        <v>1.5</v>
      </c>
      <c r="D51">
        <f>$J$19-J17</f>
        <v>5947</v>
      </c>
      <c r="E51">
        <f t="shared" si="5"/>
        <v>1.6815200941651252E-4</v>
      </c>
      <c r="F51">
        <f t="shared" si="4"/>
        <v>1.9971854565743112</v>
      </c>
      <c r="G51">
        <v>0</v>
      </c>
      <c r="H51">
        <v>7.8806299999999996E-2</v>
      </c>
      <c r="I51">
        <v>0.25427650000000002</v>
      </c>
      <c r="J51">
        <v>0</v>
      </c>
      <c r="K51">
        <f>$N$23*G51+$N$24*H51+$N$25*I51</f>
        <v>6.8062320085042735E-21</v>
      </c>
      <c r="L51" s="14">
        <f>((($B$4*$B$6)/(4*$B$3*$B$5*$B$2))^2)*(J51)</f>
        <v>0</v>
      </c>
      <c r="M51">
        <f>$B$9*F51*(((F51^2+2)/3)^2)*(K51)/((2*C51+1)*E51^3)</f>
        <v>206.08817993004234</v>
      </c>
      <c r="N51" s="14">
        <f>(64*($B$3^4)*(F51^3)*L51)/(3*$B$6*(E51^3)*(2*C51+1))</f>
        <v>0</v>
      </c>
      <c r="O51">
        <f t="shared" si="7"/>
        <v>206.08817993004234</v>
      </c>
      <c r="Q51">
        <f>O51/$P$48</f>
        <v>2.9544938974474941E-2</v>
      </c>
      <c r="R51">
        <f>1/SUM(O51:O52)</f>
        <v>4.7929516781281241E-3</v>
      </c>
    </row>
    <row r="52" spans="1:18" x14ac:dyDescent="0.2">
      <c r="A52" t="s">
        <v>31</v>
      </c>
      <c r="B52" t="s">
        <v>32</v>
      </c>
      <c r="C52">
        <v>1.5</v>
      </c>
      <c r="D52">
        <f>$J$19-J18</f>
        <v>3122</v>
      </c>
      <c r="E52">
        <f t="shared" si="5"/>
        <v>3.2030749519538755E-4</v>
      </c>
      <c r="F52">
        <f t="shared" si="4"/>
        <v>1.9927179063891542</v>
      </c>
      <c r="G52">
        <v>0</v>
      </c>
      <c r="H52">
        <v>3.1780000000000003E-4</v>
      </c>
      <c r="I52">
        <v>2.6367000000000002E-2</v>
      </c>
      <c r="J52">
        <v>0</v>
      </c>
      <c r="K52">
        <f>$N$23*G52+$N$24*H52+$N$25*I52</f>
        <v>5.8723169192927614E-22</v>
      </c>
      <c r="L52" s="14">
        <f>((($B$4*$B$6)/(4*$B$3*$B$5*$B$2))^2)*(J52)</f>
        <v>0</v>
      </c>
      <c r="M52">
        <f>$B$9*F52*(((F52^2+2)/3)^2)*(K52)/((2*C52+1)*E52^3)</f>
        <v>2.5515200200618238</v>
      </c>
      <c r="N52" s="14">
        <f>(64*($B$3^4)*(F52^3)*L52)/(3*$B$6*(E52^3)*(2*C52+1))</f>
        <v>0</v>
      </c>
      <c r="O52">
        <f t="shared" si="7"/>
        <v>2.5515200200618238</v>
      </c>
      <c r="Q52">
        <f>O52/$P$48</f>
        <v>3.657876124213786E-4</v>
      </c>
      <c r="R52">
        <f>1/O52</f>
        <v>0.39192324266997908</v>
      </c>
    </row>
    <row r="53" spans="1:18" x14ac:dyDescent="0.2">
      <c r="F53">
        <f t="shared" si="4"/>
        <v>1</v>
      </c>
      <c r="L53" s="14"/>
      <c r="N53" s="14"/>
    </row>
    <row r="54" spans="1:18" x14ac:dyDescent="0.2">
      <c r="A54" t="s">
        <v>35</v>
      </c>
      <c r="B54" t="s">
        <v>33</v>
      </c>
      <c r="C54">
        <v>5.5</v>
      </c>
      <c r="D54">
        <f t="shared" ref="D54:D59" si="8">$J$20-J14</f>
        <v>19001</v>
      </c>
      <c r="E54">
        <f t="shared" si="5"/>
        <v>5.2628809010052104E-5</v>
      </c>
      <c r="F54">
        <f t="shared" si="4"/>
        <v>2.0633914007579683</v>
      </c>
      <c r="G54">
        <v>0.71255400000000002</v>
      </c>
      <c r="H54">
        <v>0.41236469999999997</v>
      </c>
      <c r="I54">
        <v>9.2466599999999996E-2</v>
      </c>
      <c r="J54">
        <v>0</v>
      </c>
      <c r="K54">
        <f t="shared" ref="K54:K59" si="9">$N$23*G54+$N$24*H54+$N$25*I54</f>
        <v>6.2826858327185522E-20</v>
      </c>
      <c r="L54" s="14">
        <f t="shared" ref="L54:L59" si="10">((($B$4*$B$6)/(4*$B$3*$B$5*$B$2))^2)*(J54)</f>
        <v>0</v>
      </c>
      <c r="M54">
        <f t="shared" ref="M54:M59" si="11">$B$9*F54*(((F54^2+2)/3)^2)*(K54)/((2*C54+1)*E54^3)</f>
        <v>23329.759308517416</v>
      </c>
      <c r="N54" s="14">
        <f t="shared" ref="N54:N59" si="12">(64*($B$3^4)*(F54^3)*L54)/(3*$B$6*(E54^3)*(2*C54+1))</f>
        <v>0</v>
      </c>
      <c r="O54">
        <f t="shared" si="7"/>
        <v>23329.759308517416</v>
      </c>
      <c r="P54">
        <f>SUM(O54:O59)</f>
        <v>24475.021292293623</v>
      </c>
      <c r="Q54">
        <f t="shared" ref="Q54:Q59" si="13">O54/$P$54</f>
        <v>0.95320690551812459</v>
      </c>
      <c r="R54">
        <f>1/SUM(O54:O59)</f>
        <v>4.0857982841259759E-5</v>
      </c>
    </row>
    <row r="55" spans="1:18" x14ac:dyDescent="0.2">
      <c r="A55" t="s">
        <v>28</v>
      </c>
      <c r="B55" t="s">
        <v>33</v>
      </c>
      <c r="C55">
        <v>5.5</v>
      </c>
      <c r="D55">
        <f t="shared" si="8"/>
        <v>12540</v>
      </c>
      <c r="E55">
        <f t="shared" si="5"/>
        <v>7.9744816586921848E-5</v>
      </c>
      <c r="F55">
        <f t="shared" si="4"/>
        <v>2.0196952460120046</v>
      </c>
      <c r="G55">
        <v>2.3057000000000001E-2</v>
      </c>
      <c r="H55">
        <v>6.1086300000000003E-2</v>
      </c>
      <c r="I55">
        <v>5.2749699999999997E-2</v>
      </c>
      <c r="J55">
        <v>3.794314</v>
      </c>
      <c r="K55">
        <f t="shared" si="9"/>
        <v>3.8526468224947244E-21</v>
      </c>
      <c r="L55" s="14">
        <f t="shared" si="10"/>
        <v>3.2588713159473023E-43</v>
      </c>
      <c r="M55">
        <f t="shared" si="11"/>
        <v>379.89765007338576</v>
      </c>
      <c r="N55" s="14">
        <f t="shared" si="12"/>
        <v>138.36883532307778</v>
      </c>
      <c r="O55">
        <f t="shared" si="7"/>
        <v>518.26648539646351</v>
      </c>
      <c r="Q55">
        <f t="shared" si="13"/>
        <v>2.1175323167528706E-2</v>
      </c>
      <c r="R55">
        <f>1/SUM(O55:O59)</f>
        <v>8.7316265986823267E-4</v>
      </c>
    </row>
    <row r="56" spans="1:18" x14ac:dyDescent="0.2">
      <c r="A56" t="s">
        <v>29</v>
      </c>
      <c r="B56" t="s">
        <v>33</v>
      </c>
      <c r="C56">
        <v>5.5</v>
      </c>
      <c r="D56">
        <f t="shared" si="8"/>
        <v>8908</v>
      </c>
      <c r="E56">
        <f t="shared" si="5"/>
        <v>1.1225864391558149E-4</v>
      </c>
      <c r="F56">
        <f t="shared" si="4"/>
        <v>2.0050581489612562</v>
      </c>
      <c r="G56">
        <v>3.5703499999999999E-2</v>
      </c>
      <c r="H56">
        <v>0.1382438</v>
      </c>
      <c r="I56">
        <v>3.7051500000000001E-2</v>
      </c>
      <c r="J56">
        <v>1.3637570000000001</v>
      </c>
      <c r="K56">
        <f t="shared" si="9"/>
        <v>5.6387241398123968E-21</v>
      </c>
      <c r="L56" s="14">
        <f t="shared" si="10"/>
        <v>1.1713075325928074E-43</v>
      </c>
      <c r="M56">
        <f t="shared" si="11"/>
        <v>194.05248877917353</v>
      </c>
      <c r="N56" s="14">
        <f t="shared" si="12"/>
        <v>17.442687992061391</v>
      </c>
      <c r="O56">
        <f t="shared" si="7"/>
        <v>211.49517677123492</v>
      </c>
      <c r="Q56">
        <f t="shared" si="13"/>
        <v>8.6412663035283152E-3</v>
      </c>
      <c r="R56">
        <f>1/SUM(O56:O59)</f>
        <v>1.5949077825664819E-3</v>
      </c>
    </row>
    <row r="57" spans="1:18" x14ac:dyDescent="0.2">
      <c r="A57" t="s">
        <v>30</v>
      </c>
      <c r="B57" t="s">
        <v>33</v>
      </c>
      <c r="C57">
        <v>5.5</v>
      </c>
      <c r="D57">
        <f t="shared" si="8"/>
        <v>6698</v>
      </c>
      <c r="E57">
        <f t="shared" si="5"/>
        <v>1.4929829799940282E-4</v>
      </c>
      <c r="F57">
        <f t="shared" si="4"/>
        <v>1.9988629850912187</v>
      </c>
      <c r="G57">
        <v>0.207626</v>
      </c>
      <c r="H57">
        <v>6.6124199999999994E-2</v>
      </c>
      <c r="I57">
        <v>0.28583249999999999</v>
      </c>
      <c r="J57">
        <v>0.25514599999999998</v>
      </c>
      <c r="K57">
        <f t="shared" si="9"/>
        <v>2.3209947855525236E-20</v>
      </c>
      <c r="L57" s="14">
        <f t="shared" si="10"/>
        <v>2.1914052995579447E-44</v>
      </c>
      <c r="M57">
        <f t="shared" si="11"/>
        <v>335.71998722470715</v>
      </c>
      <c r="N57" s="14">
        <f t="shared" si="12"/>
        <v>1.3744474794100114</v>
      </c>
      <c r="O57">
        <f t="shared" si="7"/>
        <v>337.09443470411719</v>
      </c>
      <c r="Q57">
        <f t="shared" si="13"/>
        <v>1.3772998629024978E-2</v>
      </c>
      <c r="R57">
        <f>1/SUM(O57:O59)</f>
        <v>2.4067370059516371E-3</v>
      </c>
    </row>
    <row r="58" spans="1:18" x14ac:dyDescent="0.2">
      <c r="A58" t="s">
        <v>31</v>
      </c>
      <c r="B58" t="s">
        <v>33</v>
      </c>
      <c r="C58">
        <v>5.5</v>
      </c>
      <c r="D58">
        <f t="shared" si="8"/>
        <v>3873</v>
      </c>
      <c r="E58">
        <f t="shared" si="5"/>
        <v>2.5819777949909629E-4</v>
      </c>
      <c r="F58">
        <f t="shared" si="4"/>
        <v>1.9936271685956941</v>
      </c>
      <c r="G58">
        <v>0.36291649999999998</v>
      </c>
      <c r="H58">
        <v>2.23585E-2</v>
      </c>
      <c r="I58">
        <v>2.1816000000000001E-3</v>
      </c>
      <c r="J58">
        <v>0.29578399999999999</v>
      </c>
      <c r="K58">
        <f t="shared" si="9"/>
        <v>2.817439264362565E-20</v>
      </c>
      <c r="L58" s="14">
        <f t="shared" si="10"/>
        <v>2.5404381221906171E-44</v>
      </c>
      <c r="M58">
        <f t="shared" si="11"/>
        <v>78.035430748774019</v>
      </c>
      <c r="N58" s="14">
        <f t="shared" si="12"/>
        <v>0.30563555654992558</v>
      </c>
      <c r="O58">
        <f t="shared" si="7"/>
        <v>78.341066305323949</v>
      </c>
      <c r="Q58">
        <f t="shared" si="13"/>
        <v>3.2008579428689189E-3</v>
      </c>
      <c r="R58">
        <f>1/SUM(O58:O59)</f>
        <v>1.2754144356780619E-2</v>
      </c>
    </row>
    <row r="59" spans="1:18" x14ac:dyDescent="0.2">
      <c r="A59" t="s">
        <v>32</v>
      </c>
      <c r="B59" t="s">
        <v>33</v>
      </c>
      <c r="C59">
        <v>5.5</v>
      </c>
      <c r="D59">
        <f t="shared" si="8"/>
        <v>751</v>
      </c>
      <c r="E59">
        <f t="shared" si="5"/>
        <v>1.3315579227696406E-3</v>
      </c>
      <c r="F59">
        <f t="shared" si="4"/>
        <v>1.9911367065962824</v>
      </c>
      <c r="G59">
        <v>0</v>
      </c>
      <c r="H59">
        <v>0.1988481</v>
      </c>
      <c r="I59">
        <v>1.01212E-2</v>
      </c>
      <c r="J59">
        <v>0</v>
      </c>
      <c r="K59">
        <f t="shared" si="9"/>
        <v>3.2246699268944861E-21</v>
      </c>
      <c r="L59" s="14">
        <f t="shared" si="10"/>
        <v>0</v>
      </c>
      <c r="M59">
        <f t="shared" si="11"/>
        <v>6.4820599065640583E-2</v>
      </c>
      <c r="N59" s="14">
        <f t="shared" si="12"/>
        <v>0</v>
      </c>
      <c r="O59">
        <f t="shared" si="7"/>
        <v>6.4820599065640583E-2</v>
      </c>
      <c r="Q59">
        <f t="shared" si="13"/>
        <v>2.6484389243841211E-6</v>
      </c>
      <c r="R59">
        <f>1/O59</f>
        <v>15.427194663649281</v>
      </c>
    </row>
    <row r="60" spans="1:18" x14ac:dyDescent="0.2">
      <c r="F60">
        <f t="shared" si="4"/>
        <v>1</v>
      </c>
      <c r="L60" s="14"/>
      <c r="N60" s="14"/>
    </row>
    <row r="61" spans="1:18" x14ac:dyDescent="0.2">
      <c r="A61" t="s">
        <v>35</v>
      </c>
      <c r="B61" t="s">
        <v>34</v>
      </c>
      <c r="C61">
        <v>3.5</v>
      </c>
      <c r="D61">
        <f t="shared" ref="D61:D67" si="14">$J$21-J14</f>
        <v>20339</v>
      </c>
      <c r="E61">
        <f t="shared" si="5"/>
        <v>4.9166625694478586E-5</v>
      </c>
      <c r="F61">
        <f t="shared" si="4"/>
        <v>2.0763620127052889</v>
      </c>
      <c r="G61">
        <v>0</v>
      </c>
      <c r="H61">
        <v>0.1468776</v>
      </c>
      <c r="I61">
        <v>0.62653809999999999</v>
      </c>
      <c r="J61">
        <v>0</v>
      </c>
      <c r="K61">
        <f t="shared" ref="K61:K67" si="15">$N$23*G61+$N$24*H61+$N$25*I61</f>
        <v>1.6056685470021712E-20</v>
      </c>
      <c r="L61" s="14">
        <f t="shared" ref="L61:L67" si="16">((($B$4*$B$6)/(4*$B$3*$B$5*$B$2))^2)*(J61)</f>
        <v>0</v>
      </c>
      <c r="M61">
        <f t="shared" ref="M61:M67" si="17">$B$9*F61*(((F61^2+2)/3)^2)*(K61)/((2*C61+1)*E61^3)</f>
        <v>11228.30881272576</v>
      </c>
      <c r="N61" s="14">
        <f t="shared" ref="N61:N67" si="18">(64*($B$3^4)*(F61^3)*L61)/(3*$B$6*(E61^3)*(2*C61+1))</f>
        <v>0</v>
      </c>
      <c r="O61">
        <f t="shared" si="7"/>
        <v>11228.30881272576</v>
      </c>
      <c r="P61">
        <f>SUM(O61:O67)</f>
        <v>13394.398636107584</v>
      </c>
      <c r="Q61">
        <f t="shared" ref="Q61:Q67" si="19">O61/$P$61</f>
        <v>0.83828390641274131</v>
      </c>
      <c r="R61">
        <f>1/SUM(O61:O67)</f>
        <v>7.4658073659557758E-5</v>
      </c>
    </row>
    <row r="62" spans="1:18" x14ac:dyDescent="0.2">
      <c r="A62" t="s">
        <v>28</v>
      </c>
      <c r="B62" t="s">
        <v>34</v>
      </c>
      <c r="C62">
        <v>3.5</v>
      </c>
      <c r="D62">
        <f t="shared" si="14"/>
        <v>13878</v>
      </c>
      <c r="E62">
        <f t="shared" si="5"/>
        <v>7.2056492289955331E-5</v>
      </c>
      <c r="F62">
        <f t="shared" si="4"/>
        <v>2.0266642779661006</v>
      </c>
      <c r="G62">
        <v>0</v>
      </c>
      <c r="H62">
        <v>0.33713219999999999</v>
      </c>
      <c r="I62">
        <v>1.249E-4</v>
      </c>
      <c r="J62">
        <v>0</v>
      </c>
      <c r="K62">
        <f t="shared" si="15"/>
        <v>5.090896472938316E-21</v>
      </c>
      <c r="L62" s="14">
        <f t="shared" si="16"/>
        <v>0</v>
      </c>
      <c r="M62">
        <f t="shared" si="17"/>
        <v>1033.7052384133815</v>
      </c>
      <c r="N62" s="14">
        <f t="shared" si="18"/>
        <v>0</v>
      </c>
      <c r="O62">
        <f t="shared" si="7"/>
        <v>1033.7052384133815</v>
      </c>
      <c r="Q62">
        <f t="shared" si="19"/>
        <v>7.7174441831736953E-2</v>
      </c>
      <c r="R62">
        <f>1/SUM(O62:O67)</f>
        <v>4.6166137212109808E-4</v>
      </c>
    </row>
    <row r="63" spans="1:18" x14ac:dyDescent="0.2">
      <c r="A63" t="s">
        <v>29</v>
      </c>
      <c r="B63" t="s">
        <v>34</v>
      </c>
      <c r="C63">
        <v>3.5</v>
      </c>
      <c r="D63">
        <f t="shared" si="14"/>
        <v>10246</v>
      </c>
      <c r="E63">
        <f t="shared" si="5"/>
        <v>9.7599063048994734E-5</v>
      </c>
      <c r="F63">
        <f t="shared" si="4"/>
        <v>2.0097708744238361</v>
      </c>
      <c r="G63">
        <v>3.5270000000000002E-3</v>
      </c>
      <c r="H63">
        <v>0.26480670000000001</v>
      </c>
      <c r="I63">
        <v>0.1514665</v>
      </c>
      <c r="J63">
        <v>0</v>
      </c>
      <c r="K63">
        <f t="shared" si="15"/>
        <v>7.6124638472136485E-21</v>
      </c>
      <c r="L63" s="14">
        <f t="shared" si="16"/>
        <v>0</v>
      </c>
      <c r="M63">
        <f t="shared" si="17"/>
        <v>603.14598766780409</v>
      </c>
      <c r="N63" s="14">
        <f t="shared" si="18"/>
        <v>0</v>
      </c>
      <c r="O63">
        <f t="shared" si="7"/>
        <v>603.14598766780409</v>
      </c>
      <c r="Q63">
        <f t="shared" si="19"/>
        <v>4.5029717574769632E-2</v>
      </c>
      <c r="R63">
        <f>1/SUM(O63:O67)</f>
        <v>8.8309220495779545E-4</v>
      </c>
    </row>
    <row r="64" spans="1:18" x14ac:dyDescent="0.2">
      <c r="A64" t="s">
        <v>30</v>
      </c>
      <c r="B64" t="s">
        <v>34</v>
      </c>
      <c r="C64">
        <v>3.5</v>
      </c>
      <c r="D64">
        <f t="shared" si="14"/>
        <v>8036</v>
      </c>
      <c r="E64">
        <f t="shared" si="5"/>
        <v>1.2444001991040318E-4</v>
      </c>
      <c r="F64">
        <f t="shared" si="4"/>
        <v>2.0023840494482164</v>
      </c>
      <c r="G64">
        <v>1.6280900000000001E-2</v>
      </c>
      <c r="H64">
        <v>9.5317299999999994E-2</v>
      </c>
      <c r="I64">
        <v>0.42771900000000002</v>
      </c>
      <c r="J64">
        <v>1.874709</v>
      </c>
      <c r="K64">
        <f t="shared" si="15"/>
        <v>1.2133329987064751E-20</v>
      </c>
      <c r="L64" s="14">
        <f t="shared" si="16"/>
        <v>1.610155455201718E-43</v>
      </c>
      <c r="M64">
        <f t="shared" si="17"/>
        <v>457.5743804507448</v>
      </c>
      <c r="N64" s="14">
        <f t="shared" si="18"/>
        <v>26.299162403723759</v>
      </c>
      <c r="O64">
        <f t="shared" si="7"/>
        <v>483.87354285446855</v>
      </c>
      <c r="Q64">
        <f t="shared" si="19"/>
        <v>3.6125066604340089E-2</v>
      </c>
      <c r="R64">
        <f>1/SUM(O64:O67)</f>
        <v>1.8895069352470929E-3</v>
      </c>
    </row>
    <row r="65" spans="1:18" x14ac:dyDescent="0.2">
      <c r="A65" t="s">
        <v>31</v>
      </c>
      <c r="B65" t="s">
        <v>34</v>
      </c>
      <c r="C65">
        <v>3.5</v>
      </c>
      <c r="D65">
        <f t="shared" si="14"/>
        <v>5211</v>
      </c>
      <c r="E65">
        <f t="shared" si="5"/>
        <v>1.9190174630589137E-4</v>
      </c>
      <c r="F65">
        <f t="shared" si="4"/>
        <v>1.9957442743914213</v>
      </c>
      <c r="G65">
        <v>1.2138899999999999E-2</v>
      </c>
      <c r="H65">
        <v>3.4199399999999998E-2</v>
      </c>
      <c r="I65">
        <v>1.5087100000000001E-2</v>
      </c>
      <c r="J65">
        <v>6.356954</v>
      </c>
      <c r="K65">
        <f t="shared" si="15"/>
        <v>1.7789023853249621E-21</v>
      </c>
      <c r="L65" s="14">
        <f t="shared" si="16"/>
        <v>5.4598789260447258E-43</v>
      </c>
      <c r="M65">
        <f t="shared" si="17"/>
        <v>18.071297540471811</v>
      </c>
      <c r="N65" s="14">
        <f t="shared" si="18"/>
        <v>24.075377266344649</v>
      </c>
      <c r="O65">
        <f t="shared" si="7"/>
        <v>42.146674806816463</v>
      </c>
      <c r="Q65">
        <f t="shared" si="19"/>
        <v>3.1465895522327309E-3</v>
      </c>
      <c r="R65">
        <f>1/SUM(O65:O67)</f>
        <v>2.2043399092281354E-2</v>
      </c>
    </row>
    <row r="66" spans="1:18" x14ac:dyDescent="0.2">
      <c r="A66" t="s">
        <v>32</v>
      </c>
      <c r="B66" t="s">
        <v>34</v>
      </c>
      <c r="C66">
        <v>3.5</v>
      </c>
      <c r="D66">
        <f t="shared" si="14"/>
        <v>2089</v>
      </c>
      <c r="E66">
        <f t="shared" si="5"/>
        <v>4.7869794159885112E-4</v>
      </c>
      <c r="F66">
        <f t="shared" si="4"/>
        <v>1.9917897534973346</v>
      </c>
      <c r="G66">
        <v>6.4599999999999998E-5</v>
      </c>
      <c r="H66">
        <v>5.8133000000000004E-3</v>
      </c>
      <c r="I66">
        <v>0</v>
      </c>
      <c r="J66">
        <v>0</v>
      </c>
      <c r="K66">
        <f t="shared" si="15"/>
        <v>9.2683173868834426E-23</v>
      </c>
      <c r="L66" s="14">
        <f t="shared" si="16"/>
        <v>0</v>
      </c>
      <c r="M66">
        <f t="shared" si="17"/>
        <v>6.0219416497855296E-2</v>
      </c>
      <c r="N66" s="14">
        <f t="shared" si="18"/>
        <v>0</v>
      </c>
      <c r="O66">
        <f t="shared" si="7"/>
        <v>6.0219416497855296E-2</v>
      </c>
      <c r="Q66">
        <f t="shared" si="19"/>
        <v>4.4958656326324688E-6</v>
      </c>
      <c r="R66">
        <f>1/SUM(O66:O67)</f>
        <v>0.31071536364828534</v>
      </c>
    </row>
    <row r="67" spans="1:18" x14ac:dyDescent="0.2">
      <c r="A67" t="s">
        <v>33</v>
      </c>
      <c r="B67" t="s">
        <v>34</v>
      </c>
      <c r="C67">
        <v>3.5</v>
      </c>
      <c r="D67">
        <f t="shared" si="14"/>
        <v>1338</v>
      </c>
      <c r="E67">
        <f t="shared" si="5"/>
        <v>7.4738415545590436E-4</v>
      </c>
      <c r="F67">
        <f t="shared" si="4"/>
        <v>1.991347252756813</v>
      </c>
      <c r="G67">
        <v>0.12285840000000001</v>
      </c>
      <c r="H67">
        <v>1.5323099999999999E-2</v>
      </c>
      <c r="I67">
        <v>0.40178789999999998</v>
      </c>
      <c r="J67">
        <v>0</v>
      </c>
      <c r="K67">
        <f t="shared" si="15"/>
        <v>1.8513928457887554E-20</v>
      </c>
      <c r="L67" s="14">
        <f t="shared" si="16"/>
        <v>0</v>
      </c>
      <c r="M67">
        <f t="shared" si="17"/>
        <v>3.158160222855773</v>
      </c>
      <c r="N67" s="14">
        <f t="shared" si="18"/>
        <v>0</v>
      </c>
      <c r="O67">
        <f t="shared" si="7"/>
        <v>3.158160222855773</v>
      </c>
      <c r="Q67">
        <f t="shared" si="19"/>
        <v>2.3578215854665166E-4</v>
      </c>
      <c r="R67">
        <f>1/O67</f>
        <v>0.31664004655715278</v>
      </c>
    </row>
    <row r="68" spans="1:18" x14ac:dyDescent="0.2">
      <c r="L68" s="14"/>
      <c r="N68" s="14"/>
    </row>
    <row r="69" spans="1:18" x14ac:dyDescent="0.2">
      <c r="L69" s="14"/>
      <c r="N69" s="14"/>
    </row>
    <row r="70" spans="1:18" x14ac:dyDescent="0.2">
      <c r="L70" s="14"/>
      <c r="N70" s="14"/>
    </row>
    <row r="71" spans="1:18" x14ac:dyDescent="0.2">
      <c r="L71" s="14"/>
      <c r="N71" s="14"/>
    </row>
    <row r="72" spans="1:18" x14ac:dyDescent="0.2">
      <c r="L72" s="14"/>
      <c r="N72" s="14"/>
    </row>
    <row r="73" spans="1:18" x14ac:dyDescent="0.2">
      <c r="L73" s="14"/>
      <c r="N73" s="14"/>
    </row>
    <row r="74" spans="1:18" x14ac:dyDescent="0.2">
      <c r="L74" s="14"/>
      <c r="N74" s="14"/>
    </row>
    <row r="75" spans="1:18" x14ac:dyDescent="0.2">
      <c r="L75" s="14"/>
      <c r="N75" s="14"/>
    </row>
    <row r="76" spans="1:18" x14ac:dyDescent="0.2">
      <c r="L76" s="14"/>
      <c r="N76" s="14"/>
    </row>
    <row r="77" spans="1:18" x14ac:dyDescent="0.2">
      <c r="L77" s="14"/>
      <c r="N77" s="14"/>
    </row>
    <row r="78" spans="1:18" x14ac:dyDescent="0.2">
      <c r="L78" s="14"/>
      <c r="N78" s="14"/>
    </row>
    <row r="79" spans="1:18" x14ac:dyDescent="0.2">
      <c r="L79" s="14"/>
      <c r="N79" s="14"/>
    </row>
    <row r="80" spans="1:18" x14ac:dyDescent="0.2">
      <c r="L80" s="14"/>
      <c r="N80" s="14"/>
    </row>
    <row r="81" spans="12:14" x14ac:dyDescent="0.2">
      <c r="L81" s="14"/>
      <c r="N81" s="14"/>
    </row>
    <row r="82" spans="12:14" x14ac:dyDescent="0.2">
      <c r="L82" s="14"/>
      <c r="N82" s="14"/>
    </row>
    <row r="83" spans="12:14" x14ac:dyDescent="0.2">
      <c r="L83" s="14"/>
      <c r="N83" s="14"/>
    </row>
    <row r="84" spans="12:14" x14ac:dyDescent="0.2">
      <c r="L84" s="14"/>
      <c r="N84" s="14"/>
    </row>
    <row r="85" spans="12:14" x14ac:dyDescent="0.2">
      <c r="L85" s="14"/>
      <c r="N85" s="14"/>
    </row>
    <row r="86" spans="12:14" x14ac:dyDescent="0.2">
      <c r="L86" s="14"/>
      <c r="N86" s="14"/>
    </row>
    <row r="87" spans="12:14" x14ac:dyDescent="0.2">
      <c r="L87" s="14"/>
      <c r="N87" s="14"/>
    </row>
    <row r="88" spans="12:14" x14ac:dyDescent="0.2">
      <c r="L88" s="14"/>
      <c r="N88" s="14"/>
    </row>
    <row r="89" spans="12:14" x14ac:dyDescent="0.2">
      <c r="L89" s="14"/>
      <c r="N89" s="14"/>
    </row>
    <row r="90" spans="12:14" x14ac:dyDescent="0.2">
      <c r="L90" s="14"/>
      <c r="N90" s="14"/>
    </row>
    <row r="91" spans="12:14" x14ac:dyDescent="0.2">
      <c r="L91" s="14"/>
      <c r="N91" s="14"/>
    </row>
    <row r="92" spans="12:14" x14ac:dyDescent="0.2">
      <c r="L92" s="14"/>
      <c r="N92" s="14"/>
    </row>
    <row r="93" spans="12:14" x14ac:dyDescent="0.2">
      <c r="L93" s="14"/>
      <c r="N93" s="14"/>
    </row>
    <row r="94" spans="12:14" x14ac:dyDescent="0.2">
      <c r="L94" s="14"/>
      <c r="N94" s="14"/>
    </row>
    <row r="95" spans="12:14" x14ac:dyDescent="0.2">
      <c r="L95" s="14"/>
      <c r="N95" s="14"/>
    </row>
    <row r="96" spans="12:14" x14ac:dyDescent="0.2">
      <c r="L96" s="14"/>
      <c r="N96" s="14"/>
    </row>
    <row r="97" spans="12:14" x14ac:dyDescent="0.2">
      <c r="L97" s="14"/>
      <c r="N97" s="14"/>
    </row>
    <row r="98" spans="12:14" x14ac:dyDescent="0.2">
      <c r="L98" s="14"/>
      <c r="N98" s="14"/>
    </row>
    <row r="99" spans="12:14" x14ac:dyDescent="0.2">
      <c r="L99" s="14"/>
      <c r="N99" s="14"/>
    </row>
    <row r="100" spans="12:14" x14ac:dyDescent="0.2">
      <c r="L100" s="14"/>
      <c r="N100" s="14"/>
    </row>
    <row r="101" spans="12:14" x14ac:dyDescent="0.2">
      <c r="L101" s="14"/>
      <c r="N101" s="14"/>
    </row>
    <row r="102" spans="12:14" x14ac:dyDescent="0.2">
      <c r="L102" s="14"/>
      <c r="N102" s="14"/>
    </row>
    <row r="103" spans="12:14" x14ac:dyDescent="0.2">
      <c r="L103" s="14"/>
      <c r="N103" s="14"/>
    </row>
    <row r="104" spans="12:14" x14ac:dyDescent="0.2">
      <c r="L104" s="14"/>
      <c r="N104" s="14"/>
    </row>
    <row r="105" spans="12:14" x14ac:dyDescent="0.2">
      <c r="L105" s="14"/>
      <c r="N105" s="14"/>
    </row>
    <row r="106" spans="12:14" x14ac:dyDescent="0.2">
      <c r="L106" s="14"/>
      <c r="N106" s="14"/>
    </row>
    <row r="107" spans="12:14" x14ac:dyDescent="0.2">
      <c r="L107" s="14"/>
      <c r="N107" s="14"/>
    </row>
    <row r="108" spans="12:14" x14ac:dyDescent="0.2">
      <c r="L108" s="14"/>
      <c r="N108" s="14"/>
    </row>
    <row r="109" spans="12:14" x14ac:dyDescent="0.2">
      <c r="L109" s="14"/>
      <c r="N109" s="14"/>
    </row>
    <row r="110" spans="12:14" x14ac:dyDescent="0.2">
      <c r="L110" s="14"/>
      <c r="N110" s="14"/>
    </row>
    <row r="111" spans="12:14" x14ac:dyDescent="0.2">
      <c r="L111" s="14"/>
      <c r="N111" s="14"/>
    </row>
    <row r="112" spans="12:14" x14ac:dyDescent="0.2">
      <c r="L112" s="14"/>
      <c r="N112" s="14"/>
    </row>
    <row r="113" spans="12:14" x14ac:dyDescent="0.2">
      <c r="L113" s="14"/>
      <c r="N113" s="14"/>
    </row>
    <row r="114" spans="12:14" x14ac:dyDescent="0.2">
      <c r="L114" s="14"/>
      <c r="N114" s="14"/>
    </row>
    <row r="115" spans="12:14" x14ac:dyDescent="0.2">
      <c r="L115" s="14"/>
      <c r="N115" s="14"/>
    </row>
    <row r="116" spans="12:14" x14ac:dyDescent="0.2">
      <c r="L116" s="14"/>
      <c r="N116" s="14"/>
    </row>
    <row r="117" spans="12:14" x14ac:dyDescent="0.2">
      <c r="L117" s="14"/>
      <c r="N117" s="14"/>
    </row>
    <row r="118" spans="12:14" x14ac:dyDescent="0.2">
      <c r="L118" s="14"/>
      <c r="N118" s="14"/>
    </row>
    <row r="119" spans="12:14" x14ac:dyDescent="0.2">
      <c r="L119" s="14"/>
      <c r="N119" s="14"/>
    </row>
    <row r="120" spans="12:14" x14ac:dyDescent="0.2">
      <c r="L120" s="14"/>
      <c r="N120" s="14"/>
    </row>
    <row r="121" spans="12:14" x14ac:dyDescent="0.2">
      <c r="L121" s="14"/>
      <c r="N121" s="14"/>
    </row>
    <row r="122" spans="12:14" x14ac:dyDescent="0.2">
      <c r="L122" s="14"/>
      <c r="N122" s="14"/>
    </row>
    <row r="123" spans="12:14" x14ac:dyDescent="0.2">
      <c r="L123" s="14"/>
      <c r="N123" s="14"/>
    </row>
    <row r="124" spans="12:14" x14ac:dyDescent="0.2">
      <c r="L124" s="14"/>
      <c r="N124" s="14"/>
    </row>
    <row r="125" spans="12:14" x14ac:dyDescent="0.2">
      <c r="L125" s="14"/>
      <c r="N125" s="14"/>
    </row>
    <row r="126" spans="12:14" x14ac:dyDescent="0.2">
      <c r="L126" s="14"/>
      <c r="N126" s="14"/>
    </row>
    <row r="127" spans="12:14" x14ac:dyDescent="0.2">
      <c r="L127" s="14"/>
      <c r="N127" s="14"/>
    </row>
    <row r="128" spans="12:14" x14ac:dyDescent="0.2">
      <c r="L128" s="14"/>
      <c r="N128" s="14"/>
    </row>
    <row r="129" spans="12:14" x14ac:dyDescent="0.2">
      <c r="L129" s="14"/>
      <c r="N129" s="14"/>
    </row>
    <row r="130" spans="12:14" x14ac:dyDescent="0.2">
      <c r="L130" s="14"/>
      <c r="N130" s="14"/>
    </row>
    <row r="131" spans="12:14" x14ac:dyDescent="0.2">
      <c r="L131" s="14"/>
      <c r="N131" s="14"/>
    </row>
    <row r="132" spans="12:14" x14ac:dyDescent="0.2">
      <c r="L132" s="14"/>
      <c r="N132" s="14"/>
    </row>
    <row r="133" spans="12:14" x14ac:dyDescent="0.2">
      <c r="L133" s="14"/>
      <c r="N133" s="14"/>
    </row>
    <row r="134" spans="12:14" x14ac:dyDescent="0.2">
      <c r="L134" s="14"/>
      <c r="N134" s="14"/>
    </row>
    <row r="135" spans="12:14" x14ac:dyDescent="0.2">
      <c r="L135" s="14"/>
      <c r="N135" s="14"/>
    </row>
    <row r="136" spans="12:14" x14ac:dyDescent="0.2">
      <c r="L136" s="14"/>
      <c r="N136" s="14"/>
    </row>
    <row r="137" spans="12:14" x14ac:dyDescent="0.2">
      <c r="L137" s="14"/>
      <c r="N137" s="14"/>
    </row>
    <row r="138" spans="12:14" x14ac:dyDescent="0.2">
      <c r="L138" s="14"/>
      <c r="N138" s="14"/>
    </row>
    <row r="139" spans="12:14" x14ac:dyDescent="0.2">
      <c r="L139" s="14"/>
      <c r="N139" s="14"/>
    </row>
    <row r="140" spans="12:14" x14ac:dyDescent="0.2">
      <c r="L140" s="14"/>
      <c r="N140" s="14"/>
    </row>
    <row r="141" spans="12:14" x14ac:dyDescent="0.2">
      <c r="L141" s="14"/>
      <c r="N141" s="14"/>
    </row>
    <row r="142" spans="12:14" x14ac:dyDescent="0.2">
      <c r="L142" s="14"/>
      <c r="N142" s="14"/>
    </row>
    <row r="143" spans="12:14" x14ac:dyDescent="0.2">
      <c r="L143" s="14"/>
      <c r="N143" s="14"/>
    </row>
    <row r="144" spans="12:14" x14ac:dyDescent="0.2">
      <c r="L144" s="14"/>
      <c r="N144" s="14"/>
    </row>
    <row r="145" spans="12:14" x14ac:dyDescent="0.2">
      <c r="L145" s="14"/>
      <c r="N145" s="14"/>
    </row>
    <row r="146" spans="12:14" x14ac:dyDescent="0.2">
      <c r="L146" s="14"/>
      <c r="N146" s="14"/>
    </row>
    <row r="147" spans="12:14" x14ac:dyDescent="0.2">
      <c r="L147" s="14"/>
      <c r="N147" s="14"/>
    </row>
    <row r="148" spans="12:14" x14ac:dyDescent="0.2">
      <c r="L148" s="14"/>
      <c r="N148" s="14"/>
    </row>
    <row r="149" spans="12:14" x14ac:dyDescent="0.2">
      <c r="L149" s="14"/>
      <c r="N149" s="14"/>
    </row>
    <row r="150" spans="12:14" x14ac:dyDescent="0.2">
      <c r="L150" s="14"/>
      <c r="N150" s="14"/>
    </row>
    <row r="151" spans="12:14" x14ac:dyDescent="0.2">
      <c r="L151" s="14"/>
      <c r="N151" s="14"/>
    </row>
  </sheetData>
  <mergeCells count="2">
    <mergeCell ref="A23:F25"/>
    <mergeCell ref="F1:K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C476-0B8E-4D91-96D1-29564149D7DD}">
  <dimension ref="A1:V151"/>
  <sheetViews>
    <sheetView tabSelected="1" zoomScale="138" workbookViewId="0">
      <selection activeCell="J7" sqref="J7"/>
    </sheetView>
  </sheetViews>
  <sheetFormatPr baseColWidth="10" defaultColWidth="8.83203125" defaultRowHeight="15" x14ac:dyDescent="0.2"/>
  <cols>
    <col min="1" max="1" width="18" customWidth="1"/>
    <col min="2" max="2" width="19" customWidth="1"/>
    <col min="3" max="3" width="17.33203125" customWidth="1"/>
    <col min="4" max="4" width="20.1640625" customWidth="1"/>
    <col min="5" max="5" width="30.5" customWidth="1"/>
    <col min="6" max="6" width="21.83203125" customWidth="1"/>
    <col min="7" max="7" width="13.33203125" customWidth="1"/>
    <col min="8" max="8" width="14.6640625" customWidth="1"/>
    <col min="9" max="9" width="12.1640625" customWidth="1"/>
    <col min="10" max="10" width="18.5" customWidth="1"/>
    <col min="11" max="11" width="13.1640625" customWidth="1"/>
    <col min="12" max="12" width="16.5" customWidth="1"/>
    <col min="13" max="13" width="14.1640625" customWidth="1"/>
    <col min="14" max="14" width="13.1640625" customWidth="1"/>
    <col min="15" max="15" width="11.6640625" customWidth="1"/>
    <col min="16" max="16" width="11.5" customWidth="1"/>
    <col min="17" max="17" width="16.6640625" customWidth="1"/>
    <col min="18" max="18" width="14.6640625" customWidth="1"/>
    <col min="19" max="19" width="13.5" customWidth="1"/>
    <col min="20" max="20" width="9.33203125" customWidth="1"/>
    <col min="21" max="21" width="7.83203125" customWidth="1"/>
    <col min="22" max="22" width="10.1640625" customWidth="1"/>
    <col min="23" max="24" width="12.1640625" bestFit="1" customWidth="1"/>
    <col min="25" max="25" width="12" bestFit="1" customWidth="1"/>
  </cols>
  <sheetData>
    <row r="1" spans="1:22" ht="19" x14ac:dyDescent="0.25">
      <c r="A1" s="34" t="s">
        <v>45</v>
      </c>
      <c r="D1" s="34" t="s">
        <v>46</v>
      </c>
      <c r="F1" s="40" t="s">
        <v>72</v>
      </c>
      <c r="G1" s="40"/>
      <c r="H1" s="40"/>
      <c r="I1" s="40"/>
      <c r="J1" s="40"/>
      <c r="K1" s="40"/>
    </row>
    <row r="2" spans="1:22" ht="17" x14ac:dyDescent="0.2">
      <c r="A2" s="32" t="s">
        <v>14</v>
      </c>
      <c r="B2" s="15">
        <f>30000000000</f>
        <v>30000000000</v>
      </c>
      <c r="C2" t="s">
        <v>25</v>
      </c>
      <c r="D2" s="1" t="s">
        <v>6</v>
      </c>
      <c r="E2" s="15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2" x14ac:dyDescent="0.2">
      <c r="A3" s="31" t="s">
        <v>42</v>
      </c>
      <c r="B3" s="15">
        <f>PI()</f>
        <v>3.1415926535897931</v>
      </c>
      <c r="C3" t="s">
        <v>17</v>
      </c>
      <c r="D3" s="1" t="s">
        <v>37</v>
      </c>
      <c r="E3" s="15">
        <v>2.6352600000000002</v>
      </c>
      <c r="F3" s="14"/>
      <c r="R3" s="14"/>
    </row>
    <row r="4" spans="1:22" ht="17" x14ac:dyDescent="0.2">
      <c r="A4" t="s">
        <v>7</v>
      </c>
      <c r="B4" s="15">
        <v>1.5189065560246367E-11</v>
      </c>
      <c r="C4" t="s">
        <v>26</v>
      </c>
      <c r="D4" s="1" t="s">
        <v>38</v>
      </c>
      <c r="E4" s="15">
        <v>1.6080000000000001E-2</v>
      </c>
    </row>
    <row r="5" spans="1:22" x14ac:dyDescent="0.2">
      <c r="A5" t="s">
        <v>16</v>
      </c>
      <c r="B5" s="39">
        <v>9.1093837015000008E-31</v>
      </c>
      <c r="C5" t="s">
        <v>15</v>
      </c>
      <c r="D5" s="1" t="s">
        <v>39</v>
      </c>
      <c r="E5" s="15">
        <v>0.32897999999999999</v>
      </c>
    </row>
    <row r="6" spans="1:22" ht="17" x14ac:dyDescent="0.2">
      <c r="A6" t="s">
        <v>9</v>
      </c>
      <c r="B6" s="39">
        <v>6.6260701500000004E-30</v>
      </c>
      <c r="C6" t="s">
        <v>27</v>
      </c>
      <c r="D6" s="1" t="s">
        <v>40</v>
      </c>
      <c r="E6" s="15">
        <v>7.8850000000000003E-2</v>
      </c>
    </row>
    <row r="7" spans="1:22" ht="17" x14ac:dyDescent="0.25">
      <c r="A7" s="31" t="s">
        <v>43</v>
      </c>
      <c r="B7" s="15">
        <v>7.2979818000770197E-3</v>
      </c>
      <c r="C7" t="s">
        <v>17</v>
      </c>
    </row>
    <row r="8" spans="1:22" ht="17" x14ac:dyDescent="0.2">
      <c r="A8" t="s">
        <v>44</v>
      </c>
      <c r="B8" s="15">
        <f>(3*B2*B6)/(8*B3^3*B4^2)</f>
        <v>10.420698254813052</v>
      </c>
      <c r="C8" t="s">
        <v>17</v>
      </c>
      <c r="D8" s="1" t="s">
        <v>2</v>
      </c>
      <c r="E8" s="33">
        <v>7.5</v>
      </c>
    </row>
    <row r="9" spans="1:22" ht="17" x14ac:dyDescent="0.2">
      <c r="A9" t="s">
        <v>71</v>
      </c>
      <c r="B9" s="15">
        <f>(64*B3^4*B4^2)/(3*B6)</f>
        <v>72354291279.214935</v>
      </c>
      <c r="C9" t="s">
        <v>17</v>
      </c>
    </row>
    <row r="11" spans="1:22" ht="16" thickBot="1" x14ac:dyDescent="0.25"/>
    <row r="12" spans="1:22" s="35" customFormat="1" ht="19" x14ac:dyDescent="0.25">
      <c r="A12" s="36" t="s">
        <v>24</v>
      </c>
      <c r="M12" s="36" t="s">
        <v>52</v>
      </c>
    </row>
    <row r="13" spans="1:22" ht="23.25" customHeight="1" thickBot="1" x14ac:dyDescent="0.3">
      <c r="A13" s="1" t="s">
        <v>36</v>
      </c>
      <c r="B13" s="1" t="s">
        <v>3</v>
      </c>
      <c r="C13" s="1" t="s">
        <v>4</v>
      </c>
      <c r="D13" s="1" t="s">
        <v>5</v>
      </c>
      <c r="E13" s="1" t="s">
        <v>47</v>
      </c>
      <c r="F13" s="1" t="s">
        <v>21</v>
      </c>
      <c r="G13" s="1" t="s">
        <v>48</v>
      </c>
      <c r="H13" s="1" t="s">
        <v>49</v>
      </c>
      <c r="I13" s="1" t="s">
        <v>50</v>
      </c>
      <c r="J13" s="1" t="s">
        <v>68</v>
      </c>
      <c r="K13" s="1" t="s">
        <v>51</v>
      </c>
      <c r="L13" s="1"/>
      <c r="M13" s="17"/>
    </row>
    <row r="14" spans="1:22" ht="15.75" customHeight="1" x14ac:dyDescent="0.2">
      <c r="A14" t="s">
        <v>35</v>
      </c>
      <c r="B14" s="1" t="s">
        <v>17</v>
      </c>
      <c r="C14" s="1" t="s">
        <v>17</v>
      </c>
      <c r="D14" s="1" t="s">
        <v>17</v>
      </c>
      <c r="E14" s="1" t="s">
        <v>17</v>
      </c>
      <c r="F14" s="1" t="s">
        <v>17</v>
      </c>
      <c r="G14" s="1" t="s">
        <v>17</v>
      </c>
      <c r="H14" s="1" t="s">
        <v>17</v>
      </c>
      <c r="I14" s="1" t="s">
        <v>17</v>
      </c>
      <c r="J14">
        <v>109</v>
      </c>
      <c r="K14" s="1" t="s">
        <v>17</v>
      </c>
      <c r="L14" s="1"/>
      <c r="M14" s="8" t="s">
        <v>65</v>
      </c>
      <c r="N14" s="18"/>
      <c r="O14" s="18">
        <f>2*B15*B15+2*B16*B16+2*B17*B17+2*B18*B18+2*B19*B19+2*B21*B21</f>
        <v>1.0457270777830601</v>
      </c>
      <c r="P14" s="9" t="s">
        <v>10</v>
      </c>
      <c r="Q14" s="9">
        <f>2*B15*C15+2*B16*C16+2*B17*C17+2*B18*C18+2*B19*C19+2*B21*C21</f>
        <v>0.59225712535232</v>
      </c>
      <c r="R14" s="9" t="s">
        <v>11</v>
      </c>
      <c r="S14" s="9">
        <f>2*B15*D15+2*B16*D16+2*B17*D17+2*B18*D18+2*B19*D19+2*B21*D21</f>
        <v>0.52737490898698003</v>
      </c>
      <c r="T14" s="9" t="s">
        <v>12</v>
      </c>
      <c r="U14" s="9" t="s">
        <v>13</v>
      </c>
      <c r="V14" s="10">
        <f>2*B15*I15+2*B16*I16+2*B17*I17+2*B18*I18+2*B19*I19+2*B21*I21</f>
        <v>9.7599809570068738E-20</v>
      </c>
    </row>
    <row r="15" spans="1:22" x14ac:dyDescent="0.2">
      <c r="A15" t="s">
        <v>28</v>
      </c>
      <c r="B15">
        <v>1.9498399999999999E-2</v>
      </c>
      <c r="C15">
        <v>0.1173353</v>
      </c>
      <c r="D15">
        <v>1.4316382999999999</v>
      </c>
      <c r="E15" s="14">
        <v>7.0000000000000003E-19</v>
      </c>
      <c r="F15">
        <v>1520</v>
      </c>
      <c r="G15">
        <f>SQRT($E$2+($E$3*(F15/1000)^2)/(((F15/1000)^2)-$E$4)+($E$5*(F15/1000)^2)/(((F15/1000)^2)-$E$6))</f>
        <v>1.9985829371014441</v>
      </c>
      <c r="H15" s="14">
        <f t="shared" ref="H15:H21" si="0">((2*$B$5*$B$2)/($B$7*$B$6*((F15/10000000)^2)))*(E15/10000000)</f>
        <v>3.4244616322388825E-6</v>
      </c>
      <c r="I15" s="14">
        <f t="shared" ref="I15:I21" si="1">$B$8*E15*G15*((3/(G15^2+2))^2)*(2*$E$8+1)/F15</f>
        <v>3.8437408522117956E-20</v>
      </c>
      <c r="J15">
        <v>6570</v>
      </c>
      <c r="K15">
        <f t="shared" ref="K15:K21" si="2">B15*$N$23+C15*$N$24+D15*$N$25</f>
        <v>3.531420336713757E-20</v>
      </c>
      <c r="M15" s="3" t="s">
        <v>66</v>
      </c>
      <c r="N15" s="14"/>
      <c r="O15">
        <f>2*B15*C15+2*B16*C16+2*B17*C17+2*B18*C18+2*B19*C19+2*B21*C21</f>
        <v>0.59225712535232</v>
      </c>
      <c r="P15" t="s">
        <v>10</v>
      </c>
      <c r="Q15">
        <f>2*C15*C15+2*C16*C16+2*C17*C17+2*C18*C18+2*C19*C19+2*C21*C21</f>
        <v>0.98404766201127991</v>
      </c>
      <c r="R15" t="s">
        <v>11</v>
      </c>
      <c r="S15">
        <f>2*C15*D15+2*C16*D16+2*C17*D17+2*C18*D18+2*C19*D19+2*C21*D21</f>
        <v>1.2733677049341801</v>
      </c>
      <c r="T15" t="s">
        <v>12</v>
      </c>
      <c r="U15" t="s">
        <v>13</v>
      </c>
      <c r="V15" s="11">
        <f>2*C15*I15+2*C16*I16+2*C17*I17+2*C18*I18+2*C19*I19+2*C21*I21</f>
        <v>8.655827841993603E-20</v>
      </c>
    </row>
    <row r="16" spans="1:22" ht="16" thickBot="1" x14ac:dyDescent="0.25">
      <c r="A16" t="s">
        <v>29</v>
      </c>
      <c r="B16">
        <v>2.8191600000000001E-2</v>
      </c>
      <c r="C16">
        <v>3.0489999999999998E-4</v>
      </c>
      <c r="D16">
        <v>0.39526440000000002</v>
      </c>
      <c r="E16" s="14">
        <v>9.4099999999999994E-20</v>
      </c>
      <c r="F16">
        <v>974</v>
      </c>
      <c r="G16">
        <f t="shared" ref="G16:G21" si="3">SQRT($E$2+($E$3*(F16/1000)^2)/(((F16/1000)^2)-$E$4)+($E$5*(F16/1000)^2)/(((F16/1000)^2)-$E$6))</f>
        <v>2.0098506912666649</v>
      </c>
      <c r="H16" s="14">
        <f t="shared" si="0"/>
        <v>1.1211227108656632E-6</v>
      </c>
      <c r="I16" s="14">
        <f t="shared" si="1"/>
        <v>7.9882533845098749E-21</v>
      </c>
      <c r="J16">
        <v>10202</v>
      </c>
      <c r="K16">
        <f t="shared" si="2"/>
        <v>1.0969740670044138E-20</v>
      </c>
      <c r="M16" s="5" t="s">
        <v>67</v>
      </c>
      <c r="N16" s="19"/>
      <c r="O16" s="6">
        <f>2*B15*D15+2*B16*D16+2*B17*D17+2*B18*D18+2*B19*D19+2*B21*D21</f>
        <v>0.52737490898698003</v>
      </c>
      <c r="P16" s="6" t="s">
        <v>10</v>
      </c>
      <c r="Q16" s="6">
        <f>2*C15*D15+2*C16*D16+2*C17*D17+2*C18*D18+2*C19*D19+2*C21*D21</f>
        <v>1.2733677049341801</v>
      </c>
      <c r="R16" s="6" t="s">
        <v>11</v>
      </c>
      <c r="S16" s="6">
        <f>2*D15*D15+2*D16*D16+2*D17*D17+2*D18*D18+2*D19*D19+2*D21*D21</f>
        <v>5.8201425999172187</v>
      </c>
      <c r="T16" s="6" t="s">
        <v>12</v>
      </c>
      <c r="U16" s="6" t="s">
        <v>13</v>
      </c>
      <c r="V16" s="12">
        <f>2*D15*I15+2*D16*I16+2*D17*I17+2*D18*I18+2*D19*I19+2*D21*I21</f>
        <v>1.8814941693118105E-19</v>
      </c>
    </row>
    <row r="17" spans="1:19" x14ac:dyDescent="0.2">
      <c r="A17" t="s">
        <v>30</v>
      </c>
      <c r="B17">
        <v>0.1181329</v>
      </c>
      <c r="C17">
        <v>0</v>
      </c>
      <c r="D17">
        <v>9.9097000000000005E-3</v>
      </c>
      <c r="E17" s="14">
        <v>3.4100000000000001E-20</v>
      </c>
      <c r="F17">
        <v>801</v>
      </c>
      <c r="G17">
        <f t="shared" si="3"/>
        <v>2.0194253179971171</v>
      </c>
      <c r="H17" s="14">
        <f t="shared" si="0"/>
        <v>6.0071819644419145E-7</v>
      </c>
      <c r="I17" s="14">
        <f t="shared" si="1"/>
        <v>3.4920169756857231E-21</v>
      </c>
      <c r="J17">
        <v>12412</v>
      </c>
      <c r="K17">
        <f t="shared" si="2"/>
        <v>8.942329334322234E-21</v>
      </c>
    </row>
    <row r="18" spans="1:19" ht="16" thickBot="1" x14ac:dyDescent="0.25">
      <c r="A18" t="s">
        <v>31</v>
      </c>
      <c r="B18">
        <v>0</v>
      </c>
      <c r="C18">
        <v>0.53538629999999998</v>
      </c>
      <c r="D18">
        <v>0.4617945</v>
      </c>
      <c r="E18" s="14">
        <v>1.48E-19</v>
      </c>
      <c r="F18">
        <v>655</v>
      </c>
      <c r="G18">
        <f t="shared" si="3"/>
        <v>2.0349284951262354</v>
      </c>
      <c r="H18" s="14">
        <f t="shared" si="0"/>
        <v>3.8990657253022473E-6</v>
      </c>
      <c r="I18" s="14">
        <f t="shared" si="1"/>
        <v>1.8296163156134044E-20</v>
      </c>
      <c r="J18">
        <v>15237</v>
      </c>
      <c r="K18">
        <f t="shared" si="2"/>
        <v>1.8117013251038888E-20</v>
      </c>
      <c r="L18" s="14"/>
      <c r="M18" t="s">
        <v>53</v>
      </c>
      <c r="N18" s="14"/>
      <c r="Q18" t="s">
        <v>54</v>
      </c>
    </row>
    <row r="19" spans="1:19" x14ac:dyDescent="0.2">
      <c r="A19" t="s">
        <v>32</v>
      </c>
      <c r="B19">
        <v>0.71255400000000002</v>
      </c>
      <c r="C19">
        <v>0.41236469999999997</v>
      </c>
      <c r="D19">
        <v>0.31360290000000002</v>
      </c>
      <c r="E19" s="14">
        <v>4.4049999999999999E-19</v>
      </c>
      <c r="F19">
        <v>523</v>
      </c>
      <c r="G19">
        <f t="shared" si="3"/>
        <v>2.0644808038581854</v>
      </c>
      <c r="H19" s="14">
        <f t="shared" si="0"/>
        <v>1.8202203925791295E-5</v>
      </c>
      <c r="I19" s="14">
        <f t="shared" si="1"/>
        <v>6.6539115747585409E-20</v>
      </c>
      <c r="J19">
        <v>18359</v>
      </c>
      <c r="K19">
        <f t="shared" si="2"/>
        <v>6.5603023046686134E-20</v>
      </c>
      <c r="L19" s="14"/>
      <c r="M19" s="20">
        <f>O14</f>
        <v>1.0457270777830601</v>
      </c>
      <c r="N19" s="18">
        <f>Q14</f>
        <v>0.59225712535232</v>
      </c>
      <c r="O19" s="2">
        <f>S14</f>
        <v>0.52737490898698003</v>
      </c>
      <c r="Q19" s="8">
        <f t="array" ref="Q19:S21">MINVERSE(M19:O21)</f>
        <v>1.4802080608111772</v>
      </c>
      <c r="R19" s="9">
        <v>-1.0005975911616833</v>
      </c>
      <c r="S19" s="2">
        <v>8.4792435648424092E-2</v>
      </c>
    </row>
    <row r="20" spans="1:19" x14ac:dyDescent="0.2">
      <c r="A20" s="16" t="s">
        <v>33</v>
      </c>
      <c r="B20" s="16">
        <v>0.71255400000000002</v>
      </c>
      <c r="C20" s="16">
        <v>0.41236469999999997</v>
      </c>
      <c r="D20" s="16">
        <v>9.2466599999999996E-2</v>
      </c>
      <c r="E20" s="38">
        <v>4.2100000000000001E-19</v>
      </c>
      <c r="F20" s="16">
        <v>521</v>
      </c>
      <c r="G20" s="16">
        <f t="shared" si="3"/>
        <v>2.0651565143073105</v>
      </c>
      <c r="H20" s="38">
        <f t="shared" si="0"/>
        <v>1.7530249200733992E-5</v>
      </c>
      <c r="I20" s="38">
        <f t="shared" si="1"/>
        <v>6.3801711886591567E-20</v>
      </c>
      <c r="J20" s="16">
        <v>19110</v>
      </c>
      <c r="K20" s="16">
        <f t="shared" si="2"/>
        <v>6.0632482294612023E-20</v>
      </c>
      <c r="L20" s="14"/>
      <c r="M20" s="3">
        <f>O15</f>
        <v>0.59225712535232</v>
      </c>
      <c r="N20" s="14">
        <f>Q15</f>
        <v>0.98404766201127991</v>
      </c>
      <c r="O20" s="4">
        <f>S15</f>
        <v>1.2733677049341801</v>
      </c>
      <c r="Q20" s="3">
        <v>-1.0005975911616833</v>
      </c>
      <c r="R20">
        <v>2.0939188693347708</v>
      </c>
      <c r="S20" s="4">
        <v>-0.367454673949419</v>
      </c>
    </row>
    <row r="21" spans="1:19" ht="16" thickBot="1" x14ac:dyDescent="0.25">
      <c r="A21" t="s">
        <v>34</v>
      </c>
      <c r="B21">
        <v>0</v>
      </c>
      <c r="C21">
        <v>0.1468776</v>
      </c>
      <c r="D21">
        <v>0.62653809999999999</v>
      </c>
      <c r="E21" s="14">
        <v>6.5300000000000001E-20</v>
      </c>
      <c r="F21">
        <v>489</v>
      </c>
      <c r="G21">
        <f t="shared" si="3"/>
        <v>2.0775174429068048</v>
      </c>
      <c r="H21" s="14">
        <f t="shared" si="0"/>
        <v>3.0865754930387528E-6</v>
      </c>
      <c r="I21" s="14">
        <f t="shared" si="1"/>
        <v>1.0435499568814806E-20</v>
      </c>
      <c r="J21">
        <v>20448</v>
      </c>
      <c r="K21">
        <f t="shared" si="2"/>
        <v>1.6205468229526703E-20</v>
      </c>
      <c r="L21" s="14"/>
      <c r="M21" s="5">
        <f>O16</f>
        <v>0.52737490898698003</v>
      </c>
      <c r="N21" s="6">
        <f>Q16</f>
        <v>1.2733677049341801</v>
      </c>
      <c r="O21" s="7">
        <f>S16</f>
        <v>5.8201425999172187</v>
      </c>
      <c r="Q21" s="5">
        <v>8.4792435648424175E-2</v>
      </c>
      <c r="R21" s="6">
        <v>-0.36745467394941916</v>
      </c>
      <c r="S21" s="7">
        <v>0.24452794538430717</v>
      </c>
    </row>
    <row r="22" spans="1:19" ht="16" thickBot="1" x14ac:dyDescent="0.25">
      <c r="H22" s="14"/>
      <c r="I22" s="14"/>
      <c r="L22" s="14"/>
    </row>
    <row r="23" spans="1:19" ht="18" thickTop="1" x14ac:dyDescent="0.2">
      <c r="A23" s="41" t="s">
        <v>69</v>
      </c>
      <c r="B23" s="41"/>
      <c r="C23" s="41"/>
      <c r="D23" s="41"/>
      <c r="E23" s="41"/>
      <c r="F23" s="41"/>
      <c r="L23" s="14"/>
      <c r="M23" s="21" t="s">
        <v>10</v>
      </c>
      <c r="N23" s="22">
        <f t="array" ref="N23:N25">MMULT(Q19:S21,V14:V16)</f>
        <v>7.3811667304586978E-20</v>
      </c>
      <c r="O23" s="37" t="s">
        <v>64</v>
      </c>
    </row>
    <row r="24" spans="1:19" ht="17" x14ac:dyDescent="0.2">
      <c r="A24" s="41"/>
      <c r="B24" s="41"/>
      <c r="C24" s="41"/>
      <c r="D24" s="41"/>
      <c r="E24" s="41"/>
      <c r="F24" s="41"/>
      <c r="H24" s="14"/>
      <c r="I24" s="14"/>
      <c r="L24" s="14"/>
      <c r="M24" s="23" t="s">
        <v>11</v>
      </c>
      <c r="N24" s="24">
        <v>1.4451495474766536E-20</v>
      </c>
      <c r="O24" s="37" t="s">
        <v>64</v>
      </c>
    </row>
    <row r="25" spans="1:19" ht="18" thickBot="1" x14ac:dyDescent="0.25">
      <c r="A25" s="41"/>
      <c r="B25" s="41"/>
      <c r="C25" s="41"/>
      <c r="D25" s="41"/>
      <c r="E25" s="41"/>
      <c r="F25" s="41"/>
      <c r="H25" s="14"/>
      <c r="I25" s="14"/>
      <c r="L25" s="14"/>
      <c r="M25" s="25" t="s">
        <v>12</v>
      </c>
      <c r="N25" s="26">
        <v>2.2477271945284948E-20</v>
      </c>
      <c r="O25" s="37" t="s">
        <v>64</v>
      </c>
    </row>
    <row r="26" spans="1:19" ht="17" thickTop="1" thickBot="1" x14ac:dyDescent="0.25">
      <c r="H26" s="14"/>
      <c r="I26" s="14"/>
      <c r="L26" s="14"/>
    </row>
    <row r="27" spans="1:19" ht="16" thickBot="1" x14ac:dyDescent="0.25">
      <c r="H27" s="14"/>
      <c r="I27" s="14"/>
      <c r="M27" s="27" t="s">
        <v>18</v>
      </c>
      <c r="N27" s="28">
        <f>N24/N25</f>
        <v>0.64293814257997728</v>
      </c>
    </row>
    <row r="28" spans="1:19" x14ac:dyDescent="0.2">
      <c r="H28" s="14"/>
      <c r="I28" s="14"/>
    </row>
    <row r="29" spans="1:19" x14ac:dyDescent="0.2">
      <c r="H29" s="14"/>
      <c r="I29" s="14"/>
      <c r="M29" s="1" t="s">
        <v>20</v>
      </c>
      <c r="N29">
        <f>SQRT((((I15-K15)^2)+((I16-K16)^2)+((I17-K17)^2)+((I18-K18)^2)+((I19-K19)^2)+((I20-K20)^2)+((I21-K21)^2))/(N30-3))</f>
        <v>4.8113018109980687E-21</v>
      </c>
    </row>
    <row r="30" spans="1:19" x14ac:dyDescent="0.2">
      <c r="H30" s="14"/>
      <c r="I30" s="14"/>
      <c r="M30" s="29" t="s">
        <v>22</v>
      </c>
      <c r="N30" s="30">
        <f>COUNTIF(E15:E26,"&gt;0")</f>
        <v>7</v>
      </c>
    </row>
    <row r="31" spans="1:19" s="13" customFormat="1" ht="16" thickBot="1" x14ac:dyDescent="0.25"/>
    <row r="32" spans="1:19" ht="20" thickTop="1" x14ac:dyDescent="0.25">
      <c r="A32" s="34" t="s">
        <v>23</v>
      </c>
    </row>
    <row r="33" spans="1:20" ht="18" x14ac:dyDescent="0.25">
      <c r="A33" s="1" t="s">
        <v>0</v>
      </c>
      <c r="B33" s="1" t="s">
        <v>1</v>
      </c>
      <c r="C33" s="1" t="s">
        <v>19</v>
      </c>
      <c r="D33" s="1" t="s">
        <v>55</v>
      </c>
      <c r="E33" s="1" t="s">
        <v>8</v>
      </c>
      <c r="F33" s="1" t="s">
        <v>48</v>
      </c>
      <c r="G33" s="1" t="s">
        <v>3</v>
      </c>
      <c r="H33" s="1" t="s">
        <v>4</v>
      </c>
      <c r="I33" s="1" t="s">
        <v>5</v>
      </c>
      <c r="J33" s="1" t="s">
        <v>41</v>
      </c>
      <c r="K33" s="1" t="s">
        <v>58</v>
      </c>
      <c r="L33" s="1" t="s">
        <v>59</v>
      </c>
      <c r="M33" s="1" t="s">
        <v>60</v>
      </c>
      <c r="N33" s="1" t="s">
        <v>61</v>
      </c>
      <c r="O33" s="1" t="s">
        <v>62</v>
      </c>
      <c r="P33" s="1" t="s">
        <v>63</v>
      </c>
      <c r="Q33" s="1" t="s">
        <v>56</v>
      </c>
      <c r="R33" s="1" t="s">
        <v>57</v>
      </c>
      <c r="S33" s="1"/>
      <c r="T33" s="1"/>
    </row>
    <row r="34" spans="1:20" x14ac:dyDescent="0.2">
      <c r="A34" t="s">
        <v>35</v>
      </c>
      <c r="B34" t="s">
        <v>28</v>
      </c>
      <c r="C34">
        <v>6.5</v>
      </c>
      <c r="D34">
        <f>J15-J14</f>
        <v>6461</v>
      </c>
      <c r="E34">
        <f>1/D34</f>
        <v>1.5477480266212662E-4</v>
      </c>
      <c r="F34">
        <f>SQRT($E$2+($E$3*(E34*10000)^2)/(((E34*10000)^2)-$E$4)+($E$5*(E34*10000)^2)/(((E34*10000)^2)-$E$6))</f>
        <v>1.9983107598887508</v>
      </c>
      <c r="G34">
        <v>1.9498399999999999E-2</v>
      </c>
      <c r="H34">
        <v>0.1173353</v>
      </c>
      <c r="I34">
        <v>1.4316382999999999</v>
      </c>
      <c r="J34">
        <v>18.917280000000002</v>
      </c>
      <c r="K34">
        <f>$N$23*G34+$N$24*H34+$N$25*I34</f>
        <v>3.531420336713757E-20</v>
      </c>
      <c r="L34" s="14">
        <f>((($B$4*$B$6)/(4*$B$3*$B$5*$B$2))^2)*(J34)</f>
        <v>1.6247727828467435E-42</v>
      </c>
      <c r="M34">
        <f>$B$9*F34*(((F34^2+2)/3)^2)*(K34)/((2*C34+1)*E34^3)</f>
        <v>392.58129686897547</v>
      </c>
      <c r="N34" s="14">
        <f>(64*($B$3^4)*(F34^3)*L34)/(3*$B$6*(E34^3)*(2*C34+1))</f>
        <v>78.334862237973823</v>
      </c>
      <c r="O34">
        <f>SUM(M34:N34)</f>
        <v>470.91615910694929</v>
      </c>
      <c r="P34">
        <f>SUM(O34)</f>
        <v>470.91615910694929</v>
      </c>
      <c r="Q34">
        <f>O34/P34</f>
        <v>1</v>
      </c>
      <c r="R34">
        <f>1/O34</f>
        <v>2.1235202501787395E-3</v>
      </c>
    </row>
    <row r="35" spans="1:20" x14ac:dyDescent="0.2">
      <c r="F35">
        <f t="shared" ref="F35:F67" si="4">SQRT($E$2+($E$3*(E35*10000)^2)/(((E35*10000)^2)-$E$4)+($E$5*(E35*10000)^2)/(((E35*10000)^2)-$E$6))</f>
        <v>1</v>
      </c>
      <c r="L35" s="14"/>
      <c r="N35" s="14"/>
    </row>
    <row r="36" spans="1:20" x14ac:dyDescent="0.2">
      <c r="A36" t="s">
        <v>35</v>
      </c>
      <c r="B36" t="s">
        <v>29</v>
      </c>
      <c r="C36">
        <v>5.5</v>
      </c>
      <c r="D36">
        <f>$J$16-J14</f>
        <v>10093</v>
      </c>
      <c r="E36">
        <f t="shared" ref="E36:E67" si="5">1/D36</f>
        <v>9.9078569305459223E-5</v>
      </c>
      <c r="F36">
        <f t="shared" si="4"/>
        <v>2.0091934702588357</v>
      </c>
      <c r="G36">
        <v>2.8191600000000001E-2</v>
      </c>
      <c r="H36">
        <v>3.0489999999999998E-4</v>
      </c>
      <c r="I36">
        <v>0.39526440000000002</v>
      </c>
      <c r="J36">
        <v>0</v>
      </c>
      <c r="K36">
        <f>$N$23*G36+$N$24*H36+$N$25*I36</f>
        <v>1.0969740670044138E-20</v>
      </c>
      <c r="L36" s="14">
        <f>((($B$4*$B$6)/(4*$B$3*$B$5*$B$2))^2)*(J36)</f>
        <v>0</v>
      </c>
      <c r="M36">
        <f>$B$9*F36*(((F36^2+2)/3)^2)*(K36)/((2*C36+1)*E36^3)</f>
        <v>553.27552065405621</v>
      </c>
      <c r="N36" s="14">
        <f>(64*($B$3^4)*(F36^3)*L36)/(3*$B$6*(E36^3)*(2*C36+1))</f>
        <v>0</v>
      </c>
      <c r="O36">
        <f t="shared" ref="O36:O37" si="6">SUM(M36:N36)</f>
        <v>553.27552065405621</v>
      </c>
      <c r="P36">
        <f>SUM(O36:O37)</f>
        <v>637.97180433625499</v>
      </c>
      <c r="Q36">
        <f>O36/$P$36</f>
        <v>0.86724133714605667</v>
      </c>
      <c r="R36">
        <f>1/SUM(O36:O37)</f>
        <v>1.5674673915101916E-3</v>
      </c>
    </row>
    <row r="37" spans="1:20" x14ac:dyDescent="0.2">
      <c r="A37" t="s">
        <v>28</v>
      </c>
      <c r="B37" t="s">
        <v>29</v>
      </c>
      <c r="C37">
        <v>5.5</v>
      </c>
      <c r="D37">
        <f>$J$16-J15</f>
        <v>3632</v>
      </c>
      <c r="E37">
        <f t="shared" si="5"/>
        <v>2.7533039647577095E-4</v>
      </c>
      <c r="F37">
        <f t="shared" si="4"/>
        <v>1.9933137176916458</v>
      </c>
      <c r="G37">
        <v>3.3110899999999999E-2</v>
      </c>
      <c r="H37">
        <v>0.17079839999999999</v>
      </c>
      <c r="I37">
        <v>1.0863665</v>
      </c>
      <c r="J37">
        <v>20.824619999999999</v>
      </c>
      <c r="K37">
        <f>$N$23*G37+$N$24*H37+$N$25*I37</f>
        <v>2.9330818292400216E-20</v>
      </c>
      <c r="L37" s="14">
        <f>((($B$4*$B$6)/(4*$B$3*$B$5*$B$2))^2)*(J37)</f>
        <v>1.7885909490754459E-42</v>
      </c>
      <c r="M37">
        <f>$B$9*F37*(((F37^2+2)/3)^2)*(K37)/((2*C37+1)*E37^3)</f>
        <v>66.958618641206897</v>
      </c>
      <c r="N37" s="14">
        <f>(64*($B$3^4)*(F37^3)*L37)/(3*$B$6*(E37^3)*(2*C37+1))</f>
        <v>17.737665040991853</v>
      </c>
      <c r="O37">
        <f t="shared" si="6"/>
        <v>84.696283682198754</v>
      </c>
      <c r="Q37">
        <f>O37/$P$36</f>
        <v>0.1327586628539433</v>
      </c>
      <c r="R37">
        <f>1/O37</f>
        <v>1.1806893484869366E-2</v>
      </c>
    </row>
    <row r="38" spans="1:20" x14ac:dyDescent="0.2">
      <c r="F38">
        <f t="shared" si="4"/>
        <v>1</v>
      </c>
      <c r="L38" s="14"/>
      <c r="N38" s="14"/>
    </row>
    <row r="39" spans="1:20" x14ac:dyDescent="0.2">
      <c r="A39" t="s">
        <v>35</v>
      </c>
      <c r="B39" t="s">
        <v>30</v>
      </c>
      <c r="C39">
        <v>4.5</v>
      </c>
      <c r="D39">
        <f>$J$17-J14</f>
        <v>12303</v>
      </c>
      <c r="E39">
        <f t="shared" si="5"/>
        <v>8.1280988376818657E-5</v>
      </c>
      <c r="F39">
        <f t="shared" si="4"/>
        <v>2.0185553240918312</v>
      </c>
      <c r="G39">
        <v>0</v>
      </c>
      <c r="H39">
        <v>0.17326159999999999</v>
      </c>
      <c r="I39">
        <v>9.9097000000000005E-3</v>
      </c>
      <c r="J39">
        <v>0</v>
      </c>
      <c r="K39">
        <f>$N$23*G39+$N$24*H39+$N$25*I39</f>
        <v>2.7266322501469999E-21</v>
      </c>
      <c r="L39" s="14">
        <f>((($B$4*$B$6)/(4*$B$3*$B$5*$B$2))^2)*(J39)</f>
        <v>0</v>
      </c>
      <c r="M39">
        <f>$B$9*F39*(((F39^2+2)/3)^2)*(K39)/((2*C39+1)*E39^3)</f>
        <v>304.05526843780154</v>
      </c>
      <c r="N39" s="14">
        <f>(64*($B$3^4)*(F39^3)*L39)/(3*$B$6*(E39^3)*(2*C39+1))</f>
        <v>0</v>
      </c>
      <c r="O39">
        <f t="shared" ref="O39:O67" si="7">SUM(M39:N39)</f>
        <v>304.05526843780154</v>
      </c>
      <c r="P39">
        <f>SUM(O39:O41)</f>
        <v>495.82297516374609</v>
      </c>
      <c r="Q39">
        <f>O39/$P$39</f>
        <v>0.61323352016389909</v>
      </c>
      <c r="R39">
        <f>1/SUM(O39:O41)</f>
        <v>2.0168488555209626E-3</v>
      </c>
    </row>
    <row r="40" spans="1:20" x14ac:dyDescent="0.2">
      <c r="A40" t="s">
        <v>28</v>
      </c>
      <c r="B40" t="s">
        <v>30</v>
      </c>
      <c r="C40">
        <v>4.5</v>
      </c>
      <c r="D40">
        <f>$J$17-J15</f>
        <v>5842</v>
      </c>
      <c r="E40">
        <f t="shared" si="5"/>
        <v>1.7117425539198904E-4</v>
      </c>
      <c r="F40">
        <f t="shared" si="4"/>
        <v>1.9969676653392465</v>
      </c>
      <c r="G40">
        <v>4.2010000000000002E-4</v>
      </c>
      <c r="H40">
        <v>1.0574399999999999E-2</v>
      </c>
      <c r="I40">
        <v>0.71616100000000005</v>
      </c>
      <c r="J40">
        <v>0</v>
      </c>
      <c r="K40">
        <f>$N$23*G40+$N$24*H40+$N$25*I40</f>
        <v>1.6281169728790242E-20</v>
      </c>
      <c r="L40" s="14">
        <f>((($B$4*$B$6)/(4*$B$3*$B$5*$B$2))^2)*(J40)</f>
        <v>0</v>
      </c>
      <c r="M40">
        <f>$B$9*F40*(((F40^2+2)/3)^2)*(K40)/((2*C40+1)*E40^3)</f>
        <v>186.85694098591642</v>
      </c>
      <c r="N40" s="14">
        <f>(64*($B$3^4)*(F40^3)*L40)/(3*$B$6*(E40^3)*(2*C40+1))</f>
        <v>0</v>
      </c>
      <c r="O40">
        <f>SUM(M40:N40)</f>
        <v>186.85694098591642</v>
      </c>
      <c r="Q40">
        <f>O40/$P$39</f>
        <v>0.37686220757359362</v>
      </c>
      <c r="R40">
        <f>1/SUM(O40:O41)</f>
        <v>5.2146423246803549E-3</v>
      </c>
    </row>
    <row r="41" spans="1:20" x14ac:dyDescent="0.2">
      <c r="A41" t="s">
        <v>29</v>
      </c>
      <c r="B41" t="s">
        <v>30</v>
      </c>
      <c r="C41">
        <v>4.5</v>
      </c>
      <c r="D41">
        <f>$J$17-J16</f>
        <v>2210</v>
      </c>
      <c r="E41">
        <f t="shared" si="5"/>
        <v>4.5248868778280545E-4</v>
      </c>
      <c r="F41">
        <f t="shared" si="4"/>
        <v>1.9918792885676648</v>
      </c>
      <c r="G41">
        <v>3.0051000000000001E-3</v>
      </c>
      <c r="H41">
        <v>6.7397499999999999E-2</v>
      </c>
      <c r="I41">
        <v>0.12709429999999999</v>
      </c>
      <c r="J41">
        <v>10.515752000000001</v>
      </c>
      <c r="K41">
        <f>$N$23*G41+$N$24*H41+$N$25*I41</f>
        <v>4.0525392514732205E-21</v>
      </c>
      <c r="L41" s="14">
        <f>((($B$4*$B$6)/(4*$B$3*$B$5*$B$2))^2)*(J41)</f>
        <v>9.0317993077050243E-43</v>
      </c>
      <c r="M41">
        <f>$B$9*F41*(((F41^2+2)/3)^2)*(K41)/((2*C41+1)*E41^3)</f>
        <v>2.494513175469276</v>
      </c>
      <c r="N41" s="14">
        <f>(64*($B$3^4)*(F41^3)*L41)/(3*$B$6*(E41^3)*(2*C41+1))</f>
        <v>2.416252564558842</v>
      </c>
      <c r="O41">
        <f>SUM(M41:N41)</f>
        <v>4.9107657400281184</v>
      </c>
      <c r="Q41">
        <f>O41/$P$39</f>
        <v>9.9042722625072646E-3</v>
      </c>
      <c r="R41">
        <f>1/SUM(O41)</f>
        <v>0.20363422996314096</v>
      </c>
    </row>
    <row r="42" spans="1:20" x14ac:dyDescent="0.2">
      <c r="F42">
        <f t="shared" si="4"/>
        <v>1</v>
      </c>
      <c r="L42" s="14"/>
      <c r="N42" s="14"/>
    </row>
    <row r="43" spans="1:20" x14ac:dyDescent="0.2">
      <c r="A43" t="s">
        <v>35</v>
      </c>
      <c r="B43" t="s">
        <v>31</v>
      </c>
      <c r="C43">
        <v>4.5</v>
      </c>
      <c r="D43">
        <f>$J$18-J14</f>
        <v>15128</v>
      </c>
      <c r="E43">
        <f t="shared" si="5"/>
        <v>6.6102591221575886E-5</v>
      </c>
      <c r="F43">
        <f t="shared" si="4"/>
        <v>2.0340501470535433</v>
      </c>
      <c r="G43">
        <v>0</v>
      </c>
      <c r="H43">
        <v>0.53538629999999998</v>
      </c>
      <c r="I43">
        <v>0.4617945</v>
      </c>
      <c r="J43">
        <v>0</v>
      </c>
      <c r="K43">
        <f>$N$23*G43+$N$24*H43+$N$25*I43</f>
        <v>1.8117013251038888E-20</v>
      </c>
      <c r="L43" s="14">
        <f>((($B$4*$B$6)/(4*$B$3*$B$5*$B$2))^2)*(J43)</f>
        <v>0</v>
      </c>
      <c r="M43">
        <f>$B$9*F43*(((F43^2+2)/3)^2)*(K43)/((2*C43+1)*E43^3)</f>
        <v>3863.472157343027</v>
      </c>
      <c r="N43" s="14">
        <f>(64*($B$3^4)*(F43^3)*L43)/(3*$B$6*(E43^3)*(2*C43+1))</f>
        <v>0</v>
      </c>
      <c r="O43">
        <f t="shared" si="7"/>
        <v>3863.472157343027</v>
      </c>
      <c r="P43">
        <f>SUM(O43:O46)</f>
        <v>4319.9560949949191</v>
      </c>
      <c r="Q43">
        <f>O43/$P$43</f>
        <v>0.89433134790865765</v>
      </c>
      <c r="R43">
        <f>1/SUM(O43:O46)</f>
        <v>2.3148383409697041E-4</v>
      </c>
    </row>
    <row r="44" spans="1:20" x14ac:dyDescent="0.2">
      <c r="A44" t="s">
        <v>28</v>
      </c>
      <c r="B44" t="s">
        <v>31</v>
      </c>
      <c r="C44">
        <v>4.5</v>
      </c>
      <c r="D44">
        <f>$J$18-J15</f>
        <v>8667</v>
      </c>
      <c r="E44">
        <f t="shared" si="5"/>
        <v>1.1538017768547363E-4</v>
      </c>
      <c r="F44">
        <f t="shared" si="4"/>
        <v>2.0042884260989471</v>
      </c>
      <c r="G44">
        <v>1.0104800000000001E-2</v>
      </c>
      <c r="H44">
        <v>0.153285</v>
      </c>
      <c r="I44">
        <v>7.1389099999999997E-2</v>
      </c>
      <c r="J44">
        <v>0</v>
      </c>
      <c r="K44">
        <f>$N$23*G44+$N$24*H44+$N$25*I44</f>
        <v>4.5656818342581205E-21</v>
      </c>
      <c r="L44" s="14">
        <f>((($B$4*$B$6)/(4*$B$3*$B$5*$B$2))^2)*(J44)</f>
        <v>0</v>
      </c>
      <c r="M44">
        <f>$B$9*F44*(((F44^2+2)/3)^2)*(K44)/((2*C44+1)*E44^3)</f>
        <v>173.41190218815035</v>
      </c>
      <c r="N44" s="14">
        <f>(64*($B$3^4)*(F44^3)*L44)/(3*$B$6*(E44^3)*(2*C44+1))</f>
        <v>0</v>
      </c>
      <c r="O44">
        <f t="shared" si="7"/>
        <v>173.41190218815035</v>
      </c>
      <c r="Q44">
        <f>O44/$P$43</f>
        <v>4.0142051996561859E-2</v>
      </c>
      <c r="R44">
        <f>1/SUM(O44:O46)</f>
        <v>2.1906575840190579E-3</v>
      </c>
    </row>
    <row r="45" spans="1:20" x14ac:dyDescent="0.2">
      <c r="A45" t="s">
        <v>29</v>
      </c>
      <c r="B45" t="s">
        <v>31</v>
      </c>
      <c r="C45">
        <v>4.5</v>
      </c>
      <c r="D45">
        <f>$J$18-J16</f>
        <v>5035</v>
      </c>
      <c r="E45">
        <f t="shared" si="5"/>
        <v>1.9860973187686197E-4</v>
      </c>
      <c r="F45">
        <f t="shared" si="4"/>
        <v>1.9954289785582549</v>
      </c>
      <c r="G45">
        <v>7.0380700000000004E-2</v>
      </c>
      <c r="H45">
        <v>1.11415E-2</v>
      </c>
      <c r="I45">
        <v>1.2837379</v>
      </c>
      <c r="J45">
        <v>5.0077489999999996</v>
      </c>
      <c r="K45">
        <f>$N$23*G45+$N$24*H45+$N$25*I45</f>
        <v>3.4210854034665069E-20</v>
      </c>
      <c r="L45" s="14">
        <f>((($B$4*$B$6)/(4*$B$3*$B$5*$B$2))^2)*(J45)</f>
        <v>4.3010698570449853E-43</v>
      </c>
      <c r="M45">
        <f>$B$9*F45*(((F45^2+2)/3)^2)*(K45)/((2*C45+1)*E45^3)</f>
        <v>250.65420864784193</v>
      </c>
      <c r="N45" s="14">
        <f>(64*($B$3^4)*(F45^3)*L45)/(3*$B$6*(E45^3)*(2*C45+1))</f>
        <v>13.679994616503505</v>
      </c>
      <c r="O45">
        <f t="shared" si="7"/>
        <v>264.33420326434543</v>
      </c>
      <c r="Q45">
        <f>O45/$P$43</f>
        <v>6.1189094854598593E-2</v>
      </c>
      <c r="R45">
        <f>1/SUM(O45:O46)</f>
        <v>3.532669690814757E-3</v>
      </c>
    </row>
    <row r="46" spans="1:20" x14ac:dyDescent="0.2">
      <c r="A46" t="s">
        <v>30</v>
      </c>
      <c r="B46" t="s">
        <v>31</v>
      </c>
      <c r="C46">
        <v>4.5</v>
      </c>
      <c r="D46">
        <f>$J$18-J17</f>
        <v>2825</v>
      </c>
      <c r="E46">
        <f t="shared" si="5"/>
        <v>3.5398230088495576E-4</v>
      </c>
      <c r="F46">
        <f t="shared" si="4"/>
        <v>1.9924129650247335</v>
      </c>
      <c r="G46">
        <v>0.12787009999999999</v>
      </c>
      <c r="H46">
        <v>5.9401999999999996E-3</v>
      </c>
      <c r="I46">
        <v>2.80585E-2</v>
      </c>
      <c r="J46">
        <v>11.802659999999999</v>
      </c>
      <c r="K46">
        <f>$N$23*G46+$N$24*H46+$N$25*I46</f>
        <v>1.0154828587700252E-20</v>
      </c>
      <c r="L46" s="14">
        <f>((($B$4*$B$6)/(4*$B$3*$B$5*$B$2))^2)*(J46)</f>
        <v>1.0137102550257725E-42</v>
      </c>
      <c r="M46">
        <f>$B$9*F46*(((F46^2+2)/3)^2)*(K46)/((2*C46+1)*E46^3)</f>
        <v>13.068793073206521</v>
      </c>
      <c r="N46" s="14">
        <f>(64*($B$3^4)*(F46^3)*L46)/(3*$B$6*(E46^3)*(2*C46+1))</f>
        <v>5.6690391261896727</v>
      </c>
      <c r="O46">
        <f t="shared" si="7"/>
        <v>18.737832199396195</v>
      </c>
      <c r="Q46">
        <f>O46/$P$43</f>
        <v>4.3375052401818989E-3</v>
      </c>
      <c r="R46">
        <f>1/O46</f>
        <v>5.3367966441295371E-2</v>
      </c>
    </row>
    <row r="47" spans="1:20" x14ac:dyDescent="0.2">
      <c r="F47">
        <f t="shared" si="4"/>
        <v>1</v>
      </c>
      <c r="L47" s="14"/>
      <c r="N47" s="14"/>
    </row>
    <row r="48" spans="1:20" x14ac:dyDescent="0.2">
      <c r="A48" t="s">
        <v>35</v>
      </c>
      <c r="B48" t="s">
        <v>32</v>
      </c>
      <c r="C48">
        <v>1.5</v>
      </c>
      <c r="D48">
        <f>$J$19-J14</f>
        <v>18250</v>
      </c>
      <c r="E48">
        <f t="shared" si="5"/>
        <v>5.4794520547945207E-5</v>
      </c>
      <c r="F48">
        <f t="shared" si="4"/>
        <v>2.0568248906881119</v>
      </c>
      <c r="G48">
        <v>0</v>
      </c>
      <c r="H48">
        <v>0</v>
      </c>
      <c r="I48">
        <v>0.22113630000000001</v>
      </c>
      <c r="J48">
        <v>0</v>
      </c>
      <c r="K48">
        <f>$N$23*G48+$N$24*H48+$N$25*I48</f>
        <v>4.9705407520741163E-21</v>
      </c>
      <c r="L48" s="14">
        <f>((($B$4*$B$6)/(4*$B$3*$B$5*$B$2))^2)*(J48)</f>
        <v>0</v>
      </c>
      <c r="M48">
        <f>$B$9*F48*(((F48^2+2)/3)^2)*(K48)/((2*C48+1)*E48^3)</f>
        <v>4848.4302225059637</v>
      </c>
      <c r="N48" s="14">
        <f>(64*($B$3^4)*(F48^3)*L48)/(3*$B$6*(E48^3)*(2*C48+1))</f>
        <v>0</v>
      </c>
      <c r="O48">
        <f t="shared" si="7"/>
        <v>4848.4302225059637</v>
      </c>
      <c r="P48">
        <f>SUM(O48:O52)</f>
        <v>7095.3809960736417</v>
      </c>
      <c r="Q48">
        <f>O48/$P$48</f>
        <v>0.68332204080216852</v>
      </c>
      <c r="R48">
        <f>1/SUM(O48:O52)</f>
        <v>1.409367587946818E-4</v>
      </c>
    </row>
    <row r="49" spans="1:18" x14ac:dyDescent="0.2">
      <c r="A49" t="s">
        <v>28</v>
      </c>
      <c r="B49" t="s">
        <v>32</v>
      </c>
      <c r="C49">
        <v>1.5</v>
      </c>
      <c r="D49">
        <f>$J$19-J15</f>
        <v>11789</v>
      </c>
      <c r="E49">
        <f t="shared" si="5"/>
        <v>8.4824836712189334E-5</v>
      </c>
      <c r="F49">
        <f t="shared" si="4"/>
        <v>2.016176540258924</v>
      </c>
      <c r="G49">
        <v>0</v>
      </c>
      <c r="H49">
        <v>0</v>
      </c>
      <c r="I49">
        <v>0.34628750000000003</v>
      </c>
      <c r="J49">
        <v>0</v>
      </c>
      <c r="K49">
        <f>$N$23*G49+$N$24*H49+$N$25*I49</f>
        <v>7.7835983087528623E-21</v>
      </c>
      <c r="L49" s="14">
        <f>((($B$4*$B$6)/(4*$B$3*$B$5*$B$2))^2)*(J49)</f>
        <v>0</v>
      </c>
      <c r="M49">
        <f>$B$9*F49*(((F49^2+2)/3)^2)*(K49)/((2*C49+1)*E49^3)</f>
        <v>1900.8973849012541</v>
      </c>
      <c r="N49" s="14">
        <f>(64*($B$3^4)*(F49^3)*L49)/(3*$B$6*(E49^3)*(2*C49+1))</f>
        <v>0</v>
      </c>
      <c r="O49">
        <f t="shared" si="7"/>
        <v>1900.8973849012541</v>
      </c>
      <c r="Q49">
        <f>O49/$P$48</f>
        <v>0.26790631622926947</v>
      </c>
      <c r="R49">
        <f>1/SUM(O49:O52)</f>
        <v>4.4504757815063903E-4</v>
      </c>
    </row>
    <row r="50" spans="1:18" x14ac:dyDescent="0.2">
      <c r="A50" t="s">
        <v>29</v>
      </c>
      <c r="B50" t="s">
        <v>32</v>
      </c>
      <c r="C50">
        <v>1.5</v>
      </c>
      <c r="D50">
        <f>$J$19-J16</f>
        <v>8157</v>
      </c>
      <c r="E50">
        <f t="shared" si="5"/>
        <v>1.225940909648155E-4</v>
      </c>
      <c r="F50">
        <f t="shared" si="4"/>
        <v>2.0027369073909664</v>
      </c>
      <c r="G50">
        <v>0</v>
      </c>
      <c r="H50">
        <v>4.2339999999999999E-3</v>
      </c>
      <c r="I50">
        <v>7.3882900000000001E-2</v>
      </c>
      <c r="J50">
        <v>0</v>
      </c>
      <c r="K50">
        <f>$N$23*G50+$N$24*H50+$N$25*I50</f>
        <v>1.7218736672464546E-21</v>
      </c>
      <c r="L50" s="14">
        <f>((($B$4*$B$6)/(4*$B$3*$B$5*$B$2))^2)*(J50)</f>
        <v>0</v>
      </c>
      <c r="M50">
        <f>$B$9*F50*(((F50^2+2)/3)^2)*(K50)/((2*C50+1)*E50^3)</f>
        <v>135.91435751766662</v>
      </c>
      <c r="N50" s="14">
        <f>(64*($B$3^4)*(F50^3)*L50)/(3*$B$6*(E50^3)*(2*C50+1))</f>
        <v>0</v>
      </c>
      <c r="O50">
        <f t="shared" si="7"/>
        <v>135.91435751766662</v>
      </c>
      <c r="Q50">
        <f>O50/$P$48</f>
        <v>1.9155329022201528E-2</v>
      </c>
      <c r="R50">
        <f>1/SUM(O50:O52)</f>
        <v>2.8897275182123549E-3</v>
      </c>
    </row>
    <row r="51" spans="1:18" x14ac:dyDescent="0.2">
      <c r="A51" t="s">
        <v>30</v>
      </c>
      <c r="B51" t="s">
        <v>32</v>
      </c>
      <c r="C51">
        <v>1.5</v>
      </c>
      <c r="D51">
        <f>$J$19-J17</f>
        <v>5947</v>
      </c>
      <c r="E51">
        <f t="shared" si="5"/>
        <v>1.6815200941651252E-4</v>
      </c>
      <c r="F51">
        <f t="shared" si="4"/>
        <v>1.9971854565743112</v>
      </c>
      <c r="G51">
        <v>0</v>
      </c>
      <c r="H51">
        <v>7.8806299999999996E-2</v>
      </c>
      <c r="I51">
        <v>0.25427650000000002</v>
      </c>
      <c r="J51">
        <v>0</v>
      </c>
      <c r="K51">
        <f>$N$23*G51+$N$24*H51+$N$25*I51</f>
        <v>6.8543109276283416E-21</v>
      </c>
      <c r="L51" s="14">
        <f>((($B$4*$B$6)/(4*$B$3*$B$5*$B$2))^2)*(J51)</f>
        <v>0</v>
      </c>
      <c r="M51">
        <f>$B$9*F51*(((F51^2+2)/3)^2)*(K51)/((2*C51+1)*E51^3)</f>
        <v>207.54397763469044</v>
      </c>
      <c r="N51" s="14">
        <f>(64*($B$3^4)*(F51^3)*L51)/(3*$B$6*(E51^3)*(2*C51+1))</f>
        <v>0</v>
      </c>
      <c r="O51">
        <f t="shared" si="7"/>
        <v>207.54397763469044</v>
      </c>
      <c r="Q51">
        <f>O51/$P$48</f>
        <v>2.9250575515189201E-2</v>
      </c>
      <c r="R51">
        <f>1/SUM(O51:O52)</f>
        <v>4.7587542139760864E-3</v>
      </c>
    </row>
    <row r="52" spans="1:18" x14ac:dyDescent="0.2">
      <c r="A52" t="s">
        <v>31</v>
      </c>
      <c r="B52" t="s">
        <v>32</v>
      </c>
      <c r="C52">
        <v>1.5</v>
      </c>
      <c r="D52">
        <f>$J$19-J18</f>
        <v>3122</v>
      </c>
      <c r="E52">
        <f t="shared" si="5"/>
        <v>3.2030749519538755E-4</v>
      </c>
      <c r="F52">
        <f t="shared" si="4"/>
        <v>1.9927179063891542</v>
      </c>
      <c r="G52">
        <v>0</v>
      </c>
      <c r="H52">
        <v>3.1780000000000003E-4</v>
      </c>
      <c r="I52">
        <v>2.6367000000000002E-2</v>
      </c>
      <c r="J52">
        <v>0</v>
      </c>
      <c r="K52">
        <f>$N$23*G52+$N$24*H52+$N$25*I52</f>
        <v>5.9725091464320905E-22</v>
      </c>
      <c r="L52" s="14">
        <f>((($B$4*$B$6)/(4*$B$3*$B$5*$B$2))^2)*(J52)</f>
        <v>0</v>
      </c>
      <c r="M52">
        <f>$B$9*F52*(((F52^2+2)/3)^2)*(K52)/((2*C52+1)*E52^3)</f>
        <v>2.5950535140666688</v>
      </c>
      <c r="N52" s="14">
        <f>(64*($B$3^4)*(F52^3)*L52)/(3*$B$6*(E52^3)*(2*C52+1))</f>
        <v>0</v>
      </c>
      <c r="O52">
        <f t="shared" si="7"/>
        <v>2.5950535140666688</v>
      </c>
      <c r="Q52">
        <f>O52/$P$48</f>
        <v>3.6573843117130553E-4</v>
      </c>
      <c r="R52">
        <f>1/O52</f>
        <v>0.38534850806714782</v>
      </c>
    </row>
    <row r="53" spans="1:18" x14ac:dyDescent="0.2">
      <c r="F53">
        <f t="shared" si="4"/>
        <v>1</v>
      </c>
      <c r="L53" s="14"/>
      <c r="N53" s="14"/>
    </row>
    <row r="54" spans="1:18" x14ac:dyDescent="0.2">
      <c r="A54" t="s">
        <v>35</v>
      </c>
      <c r="B54" t="s">
        <v>33</v>
      </c>
      <c r="C54">
        <v>5.5</v>
      </c>
      <c r="D54">
        <f t="shared" ref="D54:D59" si="8">$J$20-J14</f>
        <v>19001</v>
      </c>
      <c r="E54">
        <f t="shared" si="5"/>
        <v>5.2628809010052104E-5</v>
      </c>
      <c r="F54">
        <f t="shared" si="4"/>
        <v>2.0633914007579683</v>
      </c>
      <c r="G54">
        <v>0.71255400000000002</v>
      </c>
      <c r="H54">
        <v>0.41236469999999997</v>
      </c>
      <c r="I54">
        <v>9.2466599999999996E-2</v>
      </c>
      <c r="J54">
        <v>0</v>
      </c>
      <c r="K54">
        <f t="shared" ref="K54:K59" si="9">$N$23*G54+$N$24*H54+$N$25*I54</f>
        <v>6.0632482294612023E-20</v>
      </c>
      <c r="L54" s="14">
        <f t="shared" ref="L54:L59" si="10">((($B$4*$B$6)/(4*$B$3*$B$5*$B$2))^2)*(J54)</f>
        <v>0</v>
      </c>
      <c r="M54">
        <f t="shared" ref="M54:M59" si="11">$B$9*F54*(((F54^2+2)/3)^2)*(K54)/((2*C54+1)*E54^3)</f>
        <v>22514.912505169184</v>
      </c>
      <c r="N54" s="14">
        <f t="shared" ref="N54:N59" si="12">(64*($B$3^4)*(F54^3)*L54)/(3*$B$6*(E54^3)*(2*C54+1))</f>
        <v>0</v>
      </c>
      <c r="O54">
        <f t="shared" si="7"/>
        <v>22514.912505169184</v>
      </c>
      <c r="P54">
        <f>SUM(O54:O59)</f>
        <v>23636.004006398765</v>
      </c>
      <c r="Q54">
        <f t="shared" ref="Q54:Q59" si="13">O54/$P$54</f>
        <v>0.95256848404129235</v>
      </c>
      <c r="R54">
        <f>1/SUM(O54:O59)</f>
        <v>4.2308336033843914E-5</v>
      </c>
    </row>
    <row r="55" spans="1:18" x14ac:dyDescent="0.2">
      <c r="A55" t="s">
        <v>28</v>
      </c>
      <c r="B55" t="s">
        <v>33</v>
      </c>
      <c r="C55">
        <v>5.5</v>
      </c>
      <c r="D55">
        <f t="shared" si="8"/>
        <v>12540</v>
      </c>
      <c r="E55">
        <f t="shared" si="5"/>
        <v>7.9744816586921848E-5</v>
      </c>
      <c r="F55">
        <f t="shared" si="4"/>
        <v>2.0196952460120046</v>
      </c>
      <c r="G55">
        <v>2.3057000000000001E-2</v>
      </c>
      <c r="H55">
        <v>6.1086300000000003E-2</v>
      </c>
      <c r="I55">
        <v>5.2749699999999997E-2</v>
      </c>
      <c r="J55">
        <v>3.794314</v>
      </c>
      <c r="K55">
        <f t="shared" si="9"/>
        <v>3.7703333529942909E-21</v>
      </c>
      <c r="L55" s="14">
        <f t="shared" si="10"/>
        <v>3.2588713159473023E-43</v>
      </c>
      <c r="M55">
        <f t="shared" si="11"/>
        <v>371.78097209241446</v>
      </c>
      <c r="N55" s="14">
        <f t="shared" si="12"/>
        <v>138.36883532307778</v>
      </c>
      <c r="O55">
        <f t="shared" si="7"/>
        <v>510.14980741549221</v>
      </c>
      <c r="Q55">
        <f t="shared" si="13"/>
        <v>2.1583589479735401E-2</v>
      </c>
      <c r="R55">
        <f>1/SUM(O55:O59)</f>
        <v>8.9198785193111117E-4</v>
      </c>
    </row>
    <row r="56" spans="1:18" x14ac:dyDescent="0.2">
      <c r="A56" t="s">
        <v>29</v>
      </c>
      <c r="B56" t="s">
        <v>33</v>
      </c>
      <c r="C56">
        <v>5.5</v>
      </c>
      <c r="D56">
        <f t="shared" si="8"/>
        <v>8908</v>
      </c>
      <c r="E56">
        <f t="shared" si="5"/>
        <v>1.1225864391558149E-4</v>
      </c>
      <c r="F56">
        <f t="shared" si="4"/>
        <v>2.0050581489612562</v>
      </c>
      <c r="G56">
        <v>3.5703499999999999E-2</v>
      </c>
      <c r="H56">
        <v>0.1382438</v>
      </c>
      <c r="I56">
        <v>3.7051500000000001E-2</v>
      </c>
      <c r="J56">
        <v>1.3637570000000001</v>
      </c>
      <c r="K56">
        <f t="shared" si="9"/>
        <v>5.4659811552045762E-21</v>
      </c>
      <c r="L56" s="14">
        <f t="shared" si="10"/>
        <v>1.1713075325928074E-43</v>
      </c>
      <c r="M56">
        <f t="shared" si="11"/>
        <v>188.10766770775197</v>
      </c>
      <c r="N56" s="14">
        <f t="shared" si="12"/>
        <v>17.442687992061391</v>
      </c>
      <c r="O56">
        <f t="shared" si="7"/>
        <v>205.55035569981337</v>
      </c>
      <c r="Q56">
        <f t="shared" si="13"/>
        <v>8.6964935208238472E-3</v>
      </c>
      <c r="R56">
        <f>1/SUM(O56:O59)</f>
        <v>1.6368174084781003E-3</v>
      </c>
    </row>
    <row r="57" spans="1:18" x14ac:dyDescent="0.2">
      <c r="A57" t="s">
        <v>30</v>
      </c>
      <c r="B57" t="s">
        <v>33</v>
      </c>
      <c r="C57">
        <v>5.5</v>
      </c>
      <c r="D57">
        <f t="shared" si="8"/>
        <v>6698</v>
      </c>
      <c r="E57">
        <f t="shared" si="5"/>
        <v>1.4929829799940282E-4</v>
      </c>
      <c r="F57">
        <f t="shared" si="4"/>
        <v>1.9988629850912187</v>
      </c>
      <c r="G57">
        <v>0.207626</v>
      </c>
      <c r="H57">
        <v>6.6124199999999994E-2</v>
      </c>
      <c r="I57">
        <v>0.28583249999999999</v>
      </c>
      <c r="J57">
        <v>0.25514599999999998</v>
      </c>
      <c r="K57">
        <f t="shared" si="9"/>
        <v>2.2705549646155391E-20</v>
      </c>
      <c r="L57" s="14">
        <f t="shared" si="10"/>
        <v>2.1914052995579447E-44</v>
      </c>
      <c r="M57">
        <f t="shared" si="11"/>
        <v>328.42412592161946</v>
      </c>
      <c r="N57" s="14">
        <f t="shared" si="12"/>
        <v>1.3744474794100114</v>
      </c>
      <c r="O57">
        <f t="shared" si="7"/>
        <v>329.7985734010295</v>
      </c>
      <c r="Q57">
        <f t="shared" si="13"/>
        <v>1.3953228866933093E-2</v>
      </c>
      <c r="R57">
        <f>1/SUM(O57:O59)</f>
        <v>2.4667522612880984E-3</v>
      </c>
    </row>
    <row r="58" spans="1:18" x14ac:dyDescent="0.2">
      <c r="A58" t="s">
        <v>31</v>
      </c>
      <c r="B58" t="s">
        <v>33</v>
      </c>
      <c r="C58">
        <v>5.5</v>
      </c>
      <c r="D58">
        <f t="shared" si="8"/>
        <v>3873</v>
      </c>
      <c r="E58">
        <f t="shared" si="5"/>
        <v>2.5819777949909629E-4</v>
      </c>
      <c r="F58">
        <f t="shared" si="4"/>
        <v>1.9936271685956941</v>
      </c>
      <c r="G58">
        <v>0.36291649999999998</v>
      </c>
      <c r="H58">
        <v>2.23585E-2</v>
      </c>
      <c r="I58">
        <v>2.1816000000000001E-3</v>
      </c>
      <c r="J58">
        <v>0.29578399999999999</v>
      </c>
      <c r="K58">
        <f t="shared" si="9"/>
        <v>2.715962213539354E-20</v>
      </c>
      <c r="L58" s="14">
        <f t="shared" si="10"/>
        <v>2.5404381221906171E-44</v>
      </c>
      <c r="M58">
        <f t="shared" si="11"/>
        <v>75.224791501898864</v>
      </c>
      <c r="N58" s="14">
        <f t="shared" si="12"/>
        <v>0.30563555654992558</v>
      </c>
      <c r="O58">
        <f t="shared" si="7"/>
        <v>75.530427058448794</v>
      </c>
      <c r="Q58">
        <f t="shared" si="13"/>
        <v>3.1955666887685885E-3</v>
      </c>
      <c r="R58">
        <f>1/SUM(O58:O59)</f>
        <v>1.32287792858667E-2</v>
      </c>
    </row>
    <row r="59" spans="1:18" x14ac:dyDescent="0.2">
      <c r="A59" t="s">
        <v>32</v>
      </c>
      <c r="B59" t="s">
        <v>33</v>
      </c>
      <c r="C59">
        <v>5.5</v>
      </c>
      <c r="D59">
        <f t="shared" si="8"/>
        <v>751</v>
      </c>
      <c r="E59">
        <f t="shared" si="5"/>
        <v>1.3315579227696406E-3</v>
      </c>
      <c r="F59">
        <f t="shared" si="4"/>
        <v>1.9911367065962824</v>
      </c>
      <c r="G59">
        <v>0</v>
      </c>
      <c r="H59">
        <v>0.1988481</v>
      </c>
      <c r="I59">
        <v>1.01212E-2</v>
      </c>
      <c r="J59">
        <v>0</v>
      </c>
      <c r="K59">
        <f t="shared" si="9"/>
        <v>3.1011493821285419E-21</v>
      </c>
      <c r="L59" s="14">
        <f t="shared" si="10"/>
        <v>0</v>
      </c>
      <c r="M59">
        <f t="shared" si="11"/>
        <v>6.2337654798425741E-2</v>
      </c>
      <c r="N59" s="14">
        <f t="shared" si="12"/>
        <v>0</v>
      </c>
      <c r="O59">
        <f t="shared" si="7"/>
        <v>6.2337654798425741E-2</v>
      </c>
      <c r="Q59">
        <f t="shared" si="13"/>
        <v>2.6374024467735589E-6</v>
      </c>
      <c r="R59">
        <f>1/O59</f>
        <v>16.041668606776874</v>
      </c>
    </row>
    <row r="60" spans="1:18" x14ac:dyDescent="0.2">
      <c r="F60">
        <f t="shared" si="4"/>
        <v>1</v>
      </c>
      <c r="L60" s="14"/>
      <c r="N60" s="14"/>
    </row>
    <row r="61" spans="1:18" x14ac:dyDescent="0.2">
      <c r="A61" t="s">
        <v>35</v>
      </c>
      <c r="B61" t="s">
        <v>34</v>
      </c>
      <c r="C61">
        <v>3.5</v>
      </c>
      <c r="D61">
        <f t="shared" ref="D61:D67" si="14">$J$21-J14</f>
        <v>20339</v>
      </c>
      <c r="E61">
        <f t="shared" si="5"/>
        <v>4.9166625694478586E-5</v>
      </c>
      <c r="F61">
        <f t="shared" si="4"/>
        <v>2.0763620127052889</v>
      </c>
      <c r="G61">
        <v>0</v>
      </c>
      <c r="H61">
        <v>0.1468776</v>
      </c>
      <c r="I61">
        <v>0.62653809999999999</v>
      </c>
      <c r="J61">
        <v>0</v>
      </c>
      <c r="K61">
        <f t="shared" ref="K61:K67" si="15">$N$23*G61+$N$24*H61+$N$25*I61</f>
        <v>1.6205468229526703E-20</v>
      </c>
      <c r="L61" s="14">
        <f t="shared" ref="L61:L67" si="16">((($B$4*$B$6)/(4*$B$3*$B$5*$B$2))^2)*(J61)</f>
        <v>0</v>
      </c>
      <c r="M61">
        <f t="shared" ref="M61:M67" si="17">$B$9*F61*(((F61^2+2)/3)^2)*(K61)/((2*C61+1)*E61^3)</f>
        <v>11332.351379471593</v>
      </c>
      <c r="N61" s="14">
        <f t="shared" ref="N61:N67" si="18">(64*($B$3^4)*(F61^3)*L61)/(3*$B$6*(E61^3)*(2*C61+1))</f>
        <v>0</v>
      </c>
      <c r="O61">
        <f t="shared" si="7"/>
        <v>11332.351379471593</v>
      </c>
      <c r="P61">
        <f>SUM(O61:O67)</f>
        <v>13446.729539467136</v>
      </c>
      <c r="Q61">
        <f t="shared" ref="Q61:Q67" si="19">O61/$P$61</f>
        <v>0.84275892857146495</v>
      </c>
      <c r="R61">
        <f>1/SUM(O61:O67)</f>
        <v>7.4367525357368626E-5</v>
      </c>
    </row>
    <row r="62" spans="1:18" x14ac:dyDescent="0.2">
      <c r="A62" t="s">
        <v>28</v>
      </c>
      <c r="B62" t="s">
        <v>34</v>
      </c>
      <c r="C62">
        <v>3.5</v>
      </c>
      <c r="D62">
        <f t="shared" si="14"/>
        <v>13878</v>
      </c>
      <c r="E62">
        <f t="shared" si="5"/>
        <v>7.2056492289955331E-5</v>
      </c>
      <c r="F62">
        <f t="shared" si="4"/>
        <v>2.0266642779661006</v>
      </c>
      <c r="G62">
        <v>0</v>
      </c>
      <c r="H62">
        <v>0.33713219999999999</v>
      </c>
      <c r="I62">
        <v>1.249E-4</v>
      </c>
      <c r="J62">
        <v>0</v>
      </c>
      <c r="K62">
        <f t="shared" si="15"/>
        <v>4.8748718739640529E-21</v>
      </c>
      <c r="L62" s="14">
        <f t="shared" si="16"/>
        <v>0</v>
      </c>
      <c r="M62">
        <f t="shared" si="17"/>
        <v>989.84149834856748</v>
      </c>
      <c r="N62" s="14">
        <f t="shared" si="18"/>
        <v>0</v>
      </c>
      <c r="O62">
        <f t="shared" si="7"/>
        <v>989.84149834856748</v>
      </c>
      <c r="Q62">
        <f t="shared" si="19"/>
        <v>7.3612062728212843E-2</v>
      </c>
      <c r="R62">
        <f>1/SUM(O62:O67)</f>
        <v>4.7295229345450029E-4</v>
      </c>
    </row>
    <row r="63" spans="1:18" x14ac:dyDescent="0.2">
      <c r="A63" t="s">
        <v>29</v>
      </c>
      <c r="B63" t="s">
        <v>34</v>
      </c>
      <c r="C63">
        <v>3.5</v>
      </c>
      <c r="D63">
        <f t="shared" si="14"/>
        <v>10246</v>
      </c>
      <c r="E63">
        <f t="shared" si="5"/>
        <v>9.7599063048994734E-5</v>
      </c>
      <c r="F63">
        <f t="shared" si="4"/>
        <v>2.0097708744238361</v>
      </c>
      <c r="G63">
        <v>3.5270000000000002E-3</v>
      </c>
      <c r="H63">
        <v>0.26480670000000001</v>
      </c>
      <c r="I63">
        <v>0.1514665</v>
      </c>
      <c r="J63">
        <v>0</v>
      </c>
      <c r="K63">
        <f t="shared" si="15"/>
        <v>7.4917402884216399E-21</v>
      </c>
      <c r="L63" s="14">
        <f t="shared" si="16"/>
        <v>0</v>
      </c>
      <c r="M63">
        <f t="shared" si="17"/>
        <v>593.58089395257673</v>
      </c>
      <c r="N63" s="14">
        <f t="shared" si="18"/>
        <v>0</v>
      </c>
      <c r="O63">
        <f t="shared" si="7"/>
        <v>593.58089395257673</v>
      </c>
      <c r="Q63">
        <f t="shared" si="19"/>
        <v>4.4143142182667787E-2</v>
      </c>
      <c r="R63">
        <f>1/SUM(O63:O67)</f>
        <v>8.8925513423049752E-4</v>
      </c>
    </row>
    <row r="64" spans="1:18" x14ac:dyDescent="0.2">
      <c r="A64" t="s">
        <v>30</v>
      </c>
      <c r="B64" t="s">
        <v>34</v>
      </c>
      <c r="C64">
        <v>3.5</v>
      </c>
      <c r="D64">
        <f t="shared" si="14"/>
        <v>8036</v>
      </c>
      <c r="E64">
        <f t="shared" si="5"/>
        <v>1.2444001991040318E-4</v>
      </c>
      <c r="F64">
        <f t="shared" si="4"/>
        <v>2.0023840494482164</v>
      </c>
      <c r="G64">
        <v>1.6280900000000001E-2</v>
      </c>
      <c r="H64">
        <v>9.5317299999999994E-2</v>
      </c>
      <c r="I64">
        <v>0.42771900000000002</v>
      </c>
      <c r="J64">
        <v>1.874709</v>
      </c>
      <c r="K64">
        <f t="shared" si="15"/>
        <v>1.2193154183001547E-20</v>
      </c>
      <c r="L64" s="14">
        <f t="shared" si="16"/>
        <v>1.610155455201718E-43</v>
      </c>
      <c r="M64">
        <f t="shared" si="17"/>
        <v>459.83048157227751</v>
      </c>
      <c r="N64" s="14">
        <f t="shared" si="18"/>
        <v>26.299162403723759</v>
      </c>
      <c r="O64">
        <f t="shared" si="7"/>
        <v>486.12964397600126</v>
      </c>
      <c r="Q64">
        <f t="shared" si="19"/>
        <v>3.6152258625353859E-2</v>
      </c>
      <c r="R64">
        <f>1/SUM(O64:O67)</f>
        <v>1.8833960582862739E-3</v>
      </c>
    </row>
    <row r="65" spans="1:18" x14ac:dyDescent="0.2">
      <c r="A65" t="s">
        <v>31</v>
      </c>
      <c r="B65" t="s">
        <v>34</v>
      </c>
      <c r="C65">
        <v>3.5</v>
      </c>
      <c r="D65">
        <f t="shared" si="14"/>
        <v>5211</v>
      </c>
      <c r="E65">
        <f t="shared" si="5"/>
        <v>1.9190174630589137E-4</v>
      </c>
      <c r="F65">
        <f t="shared" si="4"/>
        <v>1.9957442743914213</v>
      </c>
      <c r="G65">
        <v>1.2138899999999999E-2</v>
      </c>
      <c r="H65">
        <v>3.4199399999999998E-2</v>
      </c>
      <c r="I65">
        <v>1.5087100000000001E-2</v>
      </c>
      <c r="J65">
        <v>6.356954</v>
      </c>
      <c r="K65">
        <f t="shared" si="15"/>
        <v>1.72934177214909E-21</v>
      </c>
      <c r="L65" s="14">
        <f t="shared" si="16"/>
        <v>5.4598789260447258E-43</v>
      </c>
      <c r="M65">
        <f t="shared" si="17"/>
        <v>17.567827201470717</v>
      </c>
      <c r="N65" s="14">
        <f t="shared" si="18"/>
        <v>24.075377266344649</v>
      </c>
      <c r="O65">
        <f t="shared" si="7"/>
        <v>41.643204467815366</v>
      </c>
      <c r="Q65">
        <f t="shared" si="19"/>
        <v>3.0969020642223457E-3</v>
      </c>
      <c r="R65">
        <f>1/SUM(O65:O67)</f>
        <v>2.2308420114173281E-2</v>
      </c>
    </row>
    <row r="66" spans="1:18" x14ac:dyDescent="0.2">
      <c r="A66" t="s">
        <v>32</v>
      </c>
      <c r="B66" t="s">
        <v>34</v>
      </c>
      <c r="C66">
        <v>3.5</v>
      </c>
      <c r="D66">
        <f t="shared" si="14"/>
        <v>2089</v>
      </c>
      <c r="E66">
        <f t="shared" si="5"/>
        <v>4.7869794159885112E-4</v>
      </c>
      <c r="F66">
        <f t="shared" si="4"/>
        <v>1.9917897534973346</v>
      </c>
      <c r="G66">
        <v>6.4599999999999998E-5</v>
      </c>
      <c r="H66">
        <v>5.8133000000000004E-3</v>
      </c>
      <c r="I66">
        <v>0</v>
      </c>
      <c r="J66">
        <v>0</v>
      </c>
      <c r="K66">
        <f t="shared" si="15"/>
        <v>8.8779112351336633E-23</v>
      </c>
      <c r="L66" s="14">
        <f t="shared" si="16"/>
        <v>0</v>
      </c>
      <c r="M66">
        <f t="shared" si="17"/>
        <v>5.7682814688252149E-2</v>
      </c>
      <c r="N66" s="14">
        <f t="shared" si="18"/>
        <v>0</v>
      </c>
      <c r="O66">
        <f t="shared" si="7"/>
        <v>5.7682814688252149E-2</v>
      </c>
      <c r="Q66">
        <f t="shared" si="19"/>
        <v>4.2897281840129871E-6</v>
      </c>
      <c r="R66">
        <f>1/SUM(O66:O67)</f>
        <v>0.31417699327934961</v>
      </c>
    </row>
    <row r="67" spans="1:18" x14ac:dyDescent="0.2">
      <c r="A67" t="s">
        <v>33</v>
      </c>
      <c r="B67" t="s">
        <v>34</v>
      </c>
      <c r="C67">
        <v>3.5</v>
      </c>
      <c r="D67">
        <f t="shared" si="14"/>
        <v>1338</v>
      </c>
      <c r="E67">
        <f t="shared" si="5"/>
        <v>7.4738415545590436E-4</v>
      </c>
      <c r="F67">
        <f t="shared" si="4"/>
        <v>1.991347252756813</v>
      </c>
      <c r="G67">
        <v>0.12285840000000001</v>
      </c>
      <c r="H67">
        <v>1.5323099999999999E-2</v>
      </c>
      <c r="I67">
        <v>0.40178789999999998</v>
      </c>
      <c r="J67">
        <v>0</v>
      </c>
      <c r="K67">
        <f t="shared" si="15"/>
        <v>1.8320920949308217E-20</v>
      </c>
      <c r="L67" s="14">
        <f t="shared" si="16"/>
        <v>0</v>
      </c>
      <c r="M67">
        <f t="shared" si="17"/>
        <v>3.125236435897524</v>
      </c>
      <c r="N67" s="14">
        <f t="shared" si="18"/>
        <v>0</v>
      </c>
      <c r="O67">
        <f t="shared" si="7"/>
        <v>3.125236435897524</v>
      </c>
      <c r="Q67">
        <f t="shared" si="19"/>
        <v>2.3241609989438147E-4</v>
      </c>
      <c r="R67">
        <f>1/O67</f>
        <v>0.3199757907957495</v>
      </c>
    </row>
    <row r="68" spans="1:18" x14ac:dyDescent="0.2">
      <c r="L68" s="14"/>
      <c r="N68" s="14"/>
    </row>
    <row r="69" spans="1:18" x14ac:dyDescent="0.2">
      <c r="L69" s="14"/>
      <c r="N69" s="14"/>
    </row>
    <row r="70" spans="1:18" x14ac:dyDescent="0.2">
      <c r="L70" s="14"/>
      <c r="N70" s="14"/>
    </row>
    <row r="71" spans="1:18" x14ac:dyDescent="0.2">
      <c r="L71" s="14"/>
      <c r="N71" s="14"/>
    </row>
    <row r="72" spans="1:18" x14ac:dyDescent="0.2">
      <c r="L72" s="14"/>
      <c r="N72" s="14"/>
    </row>
    <row r="73" spans="1:18" x14ac:dyDescent="0.2">
      <c r="L73" s="14"/>
      <c r="N73" s="14"/>
    </row>
    <row r="74" spans="1:18" x14ac:dyDescent="0.2">
      <c r="L74" s="14"/>
      <c r="N74" s="14"/>
    </row>
    <row r="75" spans="1:18" x14ac:dyDescent="0.2">
      <c r="L75" s="14"/>
      <c r="N75" s="14"/>
    </row>
    <row r="76" spans="1:18" x14ac:dyDescent="0.2">
      <c r="L76" s="14"/>
      <c r="N76" s="14"/>
    </row>
    <row r="77" spans="1:18" x14ac:dyDescent="0.2">
      <c r="L77" s="14"/>
      <c r="N77" s="14"/>
    </row>
    <row r="78" spans="1:18" x14ac:dyDescent="0.2">
      <c r="L78" s="14"/>
      <c r="N78" s="14"/>
    </row>
    <row r="79" spans="1:18" x14ac:dyDescent="0.2">
      <c r="L79" s="14"/>
      <c r="N79" s="14"/>
    </row>
    <row r="80" spans="1:18" x14ac:dyDescent="0.2">
      <c r="L80" s="14"/>
      <c r="N80" s="14"/>
    </row>
    <row r="81" spans="12:14" x14ac:dyDescent="0.2">
      <c r="L81" s="14"/>
      <c r="N81" s="14"/>
    </row>
    <row r="82" spans="12:14" x14ac:dyDescent="0.2">
      <c r="L82" s="14"/>
      <c r="N82" s="14"/>
    </row>
    <row r="83" spans="12:14" x14ac:dyDescent="0.2">
      <c r="L83" s="14"/>
      <c r="N83" s="14"/>
    </row>
    <row r="84" spans="12:14" x14ac:dyDescent="0.2">
      <c r="L84" s="14"/>
      <c r="N84" s="14"/>
    </row>
    <row r="85" spans="12:14" x14ac:dyDescent="0.2">
      <c r="L85" s="14"/>
      <c r="N85" s="14"/>
    </row>
    <row r="86" spans="12:14" x14ac:dyDescent="0.2">
      <c r="L86" s="14"/>
      <c r="N86" s="14"/>
    </row>
    <row r="87" spans="12:14" x14ac:dyDescent="0.2">
      <c r="L87" s="14"/>
      <c r="N87" s="14"/>
    </row>
    <row r="88" spans="12:14" x14ac:dyDescent="0.2">
      <c r="L88" s="14"/>
      <c r="N88" s="14"/>
    </row>
    <row r="89" spans="12:14" x14ac:dyDescent="0.2">
      <c r="L89" s="14"/>
      <c r="N89" s="14"/>
    </row>
    <row r="90" spans="12:14" x14ac:dyDescent="0.2">
      <c r="L90" s="14"/>
      <c r="N90" s="14"/>
    </row>
    <row r="91" spans="12:14" x14ac:dyDescent="0.2">
      <c r="L91" s="14"/>
      <c r="N91" s="14"/>
    </row>
    <row r="92" spans="12:14" x14ac:dyDescent="0.2">
      <c r="L92" s="14"/>
      <c r="N92" s="14"/>
    </row>
    <row r="93" spans="12:14" x14ac:dyDescent="0.2">
      <c r="L93" s="14"/>
      <c r="N93" s="14"/>
    </row>
    <row r="94" spans="12:14" x14ac:dyDescent="0.2">
      <c r="L94" s="14"/>
      <c r="N94" s="14"/>
    </row>
    <row r="95" spans="12:14" x14ac:dyDescent="0.2">
      <c r="L95" s="14"/>
      <c r="N95" s="14"/>
    </row>
    <row r="96" spans="12:14" x14ac:dyDescent="0.2">
      <c r="L96" s="14"/>
      <c r="N96" s="14"/>
    </row>
    <row r="97" spans="12:14" x14ac:dyDescent="0.2">
      <c r="L97" s="14"/>
      <c r="N97" s="14"/>
    </row>
    <row r="98" spans="12:14" x14ac:dyDescent="0.2">
      <c r="L98" s="14"/>
      <c r="N98" s="14"/>
    </row>
    <row r="99" spans="12:14" x14ac:dyDescent="0.2">
      <c r="L99" s="14"/>
      <c r="N99" s="14"/>
    </row>
    <row r="100" spans="12:14" x14ac:dyDescent="0.2">
      <c r="L100" s="14"/>
      <c r="N100" s="14"/>
    </row>
    <row r="101" spans="12:14" x14ac:dyDescent="0.2">
      <c r="L101" s="14"/>
      <c r="N101" s="14"/>
    </row>
    <row r="102" spans="12:14" x14ac:dyDescent="0.2">
      <c r="L102" s="14"/>
      <c r="N102" s="14"/>
    </row>
    <row r="103" spans="12:14" x14ac:dyDescent="0.2">
      <c r="L103" s="14"/>
      <c r="N103" s="14"/>
    </row>
    <row r="104" spans="12:14" x14ac:dyDescent="0.2">
      <c r="L104" s="14"/>
      <c r="N104" s="14"/>
    </row>
    <row r="105" spans="12:14" x14ac:dyDescent="0.2">
      <c r="L105" s="14"/>
      <c r="N105" s="14"/>
    </row>
    <row r="106" spans="12:14" x14ac:dyDescent="0.2">
      <c r="L106" s="14"/>
      <c r="N106" s="14"/>
    </row>
    <row r="107" spans="12:14" x14ac:dyDescent="0.2">
      <c r="L107" s="14"/>
      <c r="N107" s="14"/>
    </row>
    <row r="108" spans="12:14" x14ac:dyDescent="0.2">
      <c r="L108" s="14"/>
      <c r="N108" s="14"/>
    </row>
    <row r="109" spans="12:14" x14ac:dyDescent="0.2">
      <c r="L109" s="14"/>
      <c r="N109" s="14"/>
    </row>
    <row r="110" spans="12:14" x14ac:dyDescent="0.2">
      <c r="L110" s="14"/>
      <c r="N110" s="14"/>
    </row>
    <row r="111" spans="12:14" x14ac:dyDescent="0.2">
      <c r="L111" s="14"/>
      <c r="N111" s="14"/>
    </row>
    <row r="112" spans="12:14" x14ac:dyDescent="0.2">
      <c r="L112" s="14"/>
      <c r="N112" s="14"/>
    </row>
    <row r="113" spans="12:14" x14ac:dyDescent="0.2">
      <c r="L113" s="14"/>
      <c r="N113" s="14"/>
    </row>
    <row r="114" spans="12:14" x14ac:dyDescent="0.2">
      <c r="L114" s="14"/>
      <c r="N114" s="14"/>
    </row>
    <row r="115" spans="12:14" x14ac:dyDescent="0.2">
      <c r="L115" s="14"/>
      <c r="N115" s="14"/>
    </row>
    <row r="116" spans="12:14" x14ac:dyDescent="0.2">
      <c r="L116" s="14"/>
      <c r="N116" s="14"/>
    </row>
    <row r="117" spans="12:14" x14ac:dyDescent="0.2">
      <c r="L117" s="14"/>
      <c r="N117" s="14"/>
    </row>
    <row r="118" spans="12:14" x14ac:dyDescent="0.2">
      <c r="L118" s="14"/>
      <c r="N118" s="14"/>
    </row>
    <row r="119" spans="12:14" x14ac:dyDescent="0.2">
      <c r="L119" s="14"/>
      <c r="N119" s="14"/>
    </row>
    <row r="120" spans="12:14" x14ac:dyDescent="0.2">
      <c r="L120" s="14"/>
      <c r="N120" s="14"/>
    </row>
    <row r="121" spans="12:14" x14ac:dyDescent="0.2">
      <c r="L121" s="14"/>
      <c r="N121" s="14"/>
    </row>
    <row r="122" spans="12:14" x14ac:dyDescent="0.2">
      <c r="L122" s="14"/>
      <c r="N122" s="14"/>
    </row>
    <row r="123" spans="12:14" x14ac:dyDescent="0.2">
      <c r="L123" s="14"/>
      <c r="N123" s="14"/>
    </row>
    <row r="124" spans="12:14" x14ac:dyDescent="0.2">
      <c r="L124" s="14"/>
      <c r="N124" s="14"/>
    </row>
    <row r="125" spans="12:14" x14ac:dyDescent="0.2">
      <c r="L125" s="14"/>
      <c r="N125" s="14"/>
    </row>
    <row r="126" spans="12:14" x14ac:dyDescent="0.2">
      <c r="L126" s="14"/>
      <c r="N126" s="14"/>
    </row>
    <row r="127" spans="12:14" x14ac:dyDescent="0.2">
      <c r="L127" s="14"/>
      <c r="N127" s="14"/>
    </row>
    <row r="128" spans="12:14" x14ac:dyDescent="0.2">
      <c r="L128" s="14"/>
      <c r="N128" s="14"/>
    </row>
    <row r="129" spans="12:14" x14ac:dyDescent="0.2">
      <c r="L129" s="14"/>
      <c r="N129" s="14"/>
    </row>
    <row r="130" spans="12:14" x14ac:dyDescent="0.2">
      <c r="L130" s="14"/>
      <c r="N130" s="14"/>
    </row>
    <row r="131" spans="12:14" x14ac:dyDescent="0.2">
      <c r="L131" s="14"/>
      <c r="N131" s="14"/>
    </row>
    <row r="132" spans="12:14" x14ac:dyDescent="0.2">
      <c r="L132" s="14"/>
      <c r="N132" s="14"/>
    </row>
    <row r="133" spans="12:14" x14ac:dyDescent="0.2">
      <c r="L133" s="14"/>
      <c r="N133" s="14"/>
    </row>
    <row r="134" spans="12:14" x14ac:dyDescent="0.2">
      <c r="L134" s="14"/>
      <c r="N134" s="14"/>
    </row>
    <row r="135" spans="12:14" x14ac:dyDescent="0.2">
      <c r="L135" s="14"/>
      <c r="N135" s="14"/>
    </row>
    <row r="136" spans="12:14" x14ac:dyDescent="0.2">
      <c r="L136" s="14"/>
      <c r="N136" s="14"/>
    </row>
    <row r="137" spans="12:14" x14ac:dyDescent="0.2">
      <c r="L137" s="14"/>
      <c r="N137" s="14"/>
    </row>
    <row r="138" spans="12:14" x14ac:dyDescent="0.2">
      <c r="L138" s="14"/>
      <c r="N138" s="14"/>
    </row>
    <row r="139" spans="12:14" x14ac:dyDescent="0.2">
      <c r="L139" s="14"/>
      <c r="N139" s="14"/>
    </row>
    <row r="140" spans="12:14" x14ac:dyDescent="0.2">
      <c r="L140" s="14"/>
      <c r="N140" s="14"/>
    </row>
    <row r="141" spans="12:14" x14ac:dyDescent="0.2">
      <c r="L141" s="14"/>
      <c r="N141" s="14"/>
    </row>
    <row r="142" spans="12:14" x14ac:dyDescent="0.2">
      <c r="L142" s="14"/>
      <c r="N142" s="14"/>
    </row>
    <row r="143" spans="12:14" x14ac:dyDescent="0.2">
      <c r="L143" s="14"/>
      <c r="N143" s="14"/>
    </row>
    <row r="144" spans="12:14" x14ac:dyDescent="0.2">
      <c r="L144" s="14"/>
      <c r="N144" s="14"/>
    </row>
    <row r="145" spans="12:14" x14ac:dyDescent="0.2">
      <c r="L145" s="14"/>
      <c r="N145" s="14"/>
    </row>
    <row r="146" spans="12:14" x14ac:dyDescent="0.2">
      <c r="L146" s="14"/>
      <c r="N146" s="14"/>
    </row>
    <row r="147" spans="12:14" x14ac:dyDescent="0.2">
      <c r="L147" s="14"/>
      <c r="N147" s="14"/>
    </row>
    <row r="148" spans="12:14" x14ac:dyDescent="0.2">
      <c r="L148" s="14"/>
      <c r="N148" s="14"/>
    </row>
    <row r="149" spans="12:14" x14ac:dyDescent="0.2">
      <c r="L149" s="14"/>
      <c r="N149" s="14"/>
    </row>
    <row r="150" spans="12:14" x14ac:dyDescent="0.2">
      <c r="L150" s="14"/>
      <c r="N150" s="14"/>
    </row>
    <row r="151" spans="12:14" x14ac:dyDescent="0.2">
      <c r="L151" s="14"/>
      <c r="N151" s="14"/>
    </row>
  </sheetData>
  <mergeCells count="2">
    <mergeCell ref="A23:F25"/>
    <mergeCell ref="F1:K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ErTeO2 glass no overlaps</vt:lpstr>
      <vt:lpstr>ErTeO2 glass with overlap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Vařák</dc:creator>
  <cp:lastModifiedBy>Jan Hrabovsky</cp:lastModifiedBy>
  <dcterms:created xsi:type="dcterms:W3CDTF">2021-02-08T10:22:46Z</dcterms:created>
  <dcterms:modified xsi:type="dcterms:W3CDTF">2024-08-05T17:21:47Z</dcterms:modified>
</cp:coreProperties>
</file>